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CatoI\OneDrive - ROR-IKT\Rutiner, prosedyrer og planer\Fastlegekontor\Vanedannende legemidler\"/>
    </mc:Choice>
  </mc:AlternateContent>
  <xr:revisionPtr revIDLastSave="9" documentId="8_{0A3CAEA6-E61D-4D9B-8E9F-349CC59A0968}" xr6:coauthVersionLast="40" xr6:coauthVersionMax="40" xr10:uidLastSave="{A74899CF-D6BF-4E79-81EC-1A0B80682278}"/>
  <bookViews>
    <workbookView xWindow="-120" yWindow="-120" windowWidth="29040" windowHeight="15840" activeTab="1" xr2:uid="{00000000-000D-0000-FFFF-FFFF00000000}"/>
  </bookViews>
  <sheets>
    <sheet name="Benzoekvivalenter" sheetId="5" r:id="rId1"/>
    <sheet name="Opioidekvivalenter" sheetId="6" r:id="rId2"/>
    <sheet name="Gradvis nedtrapping" sheetId="2" r:id="rId3"/>
  </sheets>
  <definedNames>
    <definedName name="Dag">#REF!</definedName>
    <definedName name="Tidsenhet">#REF!</definedName>
    <definedName name="Uke">#REF!</definedName>
    <definedName name="Utgangsdo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7" i="6" l="1"/>
  <c r="R77" i="6"/>
  <c r="Q77" i="6"/>
  <c r="P77" i="6"/>
  <c r="O77" i="6"/>
  <c r="N77" i="6"/>
  <c r="M77" i="6"/>
  <c r="L77" i="6"/>
  <c r="K77" i="6"/>
  <c r="J77" i="6"/>
  <c r="I77" i="6"/>
  <c r="H77" i="6"/>
  <c r="G77" i="6"/>
  <c r="F77" i="6"/>
  <c r="T76" i="6"/>
  <c r="R76" i="6"/>
  <c r="Q76" i="6"/>
  <c r="P76" i="6"/>
  <c r="O76" i="6"/>
  <c r="N76" i="6"/>
  <c r="M76" i="6"/>
  <c r="L76" i="6"/>
  <c r="K76" i="6"/>
  <c r="J76" i="6"/>
  <c r="I76" i="6"/>
  <c r="H76" i="6"/>
  <c r="G76" i="6"/>
  <c r="F76" i="6"/>
  <c r="T75" i="6"/>
  <c r="S75" i="6"/>
  <c r="Q75" i="6"/>
  <c r="P75" i="6"/>
  <c r="O75" i="6"/>
  <c r="N75" i="6"/>
  <c r="M75" i="6"/>
  <c r="L75" i="6"/>
  <c r="K75" i="6"/>
  <c r="J75" i="6"/>
  <c r="I75" i="6"/>
  <c r="H75" i="6"/>
  <c r="G75" i="6"/>
  <c r="F75" i="6"/>
  <c r="T74" i="6"/>
  <c r="S74" i="6"/>
  <c r="R74" i="6"/>
  <c r="P74" i="6"/>
  <c r="O74" i="6"/>
  <c r="N74" i="6"/>
  <c r="M74" i="6"/>
  <c r="L74" i="6"/>
  <c r="K74" i="6"/>
  <c r="J74" i="6"/>
  <c r="I74" i="6"/>
  <c r="H74" i="6"/>
  <c r="G74" i="6"/>
  <c r="F74" i="6"/>
  <c r="T73" i="6"/>
  <c r="S73" i="6"/>
  <c r="R73" i="6"/>
  <c r="Q73" i="6"/>
  <c r="O73" i="6"/>
  <c r="N73" i="6"/>
  <c r="M73" i="6"/>
  <c r="L73" i="6"/>
  <c r="K73" i="6"/>
  <c r="J73" i="6"/>
  <c r="I73" i="6"/>
  <c r="H73" i="6"/>
  <c r="G73" i="6"/>
  <c r="F73" i="6"/>
  <c r="T72" i="6"/>
  <c r="S72" i="6"/>
  <c r="R72" i="6"/>
  <c r="Q72" i="6"/>
  <c r="P72" i="6"/>
  <c r="N72" i="6"/>
  <c r="M72" i="6"/>
  <c r="L72" i="6"/>
  <c r="K72" i="6"/>
  <c r="J72" i="6"/>
  <c r="I72" i="6"/>
  <c r="H72" i="6"/>
  <c r="G72" i="6"/>
  <c r="F72" i="6"/>
  <c r="T71" i="6"/>
  <c r="S71" i="6"/>
  <c r="R71" i="6"/>
  <c r="Q71" i="6"/>
  <c r="P71" i="6"/>
  <c r="O71" i="6"/>
  <c r="M71" i="6"/>
  <c r="L71" i="6"/>
  <c r="K71" i="6"/>
  <c r="J71" i="6"/>
  <c r="I71" i="6"/>
  <c r="H71" i="6"/>
  <c r="G71" i="6"/>
  <c r="F71" i="6"/>
  <c r="T70" i="6"/>
  <c r="S70" i="6"/>
  <c r="R70" i="6"/>
  <c r="Q70" i="6"/>
  <c r="P70" i="6"/>
  <c r="O70" i="6"/>
  <c r="N70" i="6"/>
  <c r="L70" i="6"/>
  <c r="K70" i="6"/>
  <c r="J70" i="6"/>
  <c r="I70" i="6"/>
  <c r="H70" i="6"/>
  <c r="G70" i="6"/>
  <c r="F70" i="6"/>
  <c r="T69" i="6"/>
  <c r="S69" i="6"/>
  <c r="R69" i="6"/>
  <c r="Q69" i="6"/>
  <c r="P69" i="6"/>
  <c r="O69" i="6"/>
  <c r="N69" i="6"/>
  <c r="M69" i="6"/>
  <c r="K69" i="6"/>
  <c r="J69" i="6"/>
  <c r="I69" i="6"/>
  <c r="H69" i="6"/>
  <c r="G69" i="6"/>
  <c r="F69" i="6"/>
  <c r="T68" i="6"/>
  <c r="S68" i="6"/>
  <c r="R68" i="6"/>
  <c r="Q68" i="6"/>
  <c r="P68" i="6"/>
  <c r="O68" i="6"/>
  <c r="N68" i="6"/>
  <c r="M68" i="6"/>
  <c r="L68" i="6"/>
  <c r="J68" i="6"/>
  <c r="I68" i="6"/>
  <c r="H68" i="6"/>
  <c r="G68" i="6"/>
  <c r="F68" i="6"/>
  <c r="T67" i="6"/>
  <c r="S67" i="6"/>
  <c r="R67" i="6"/>
  <c r="Q67" i="6"/>
  <c r="P67" i="6"/>
  <c r="O67" i="6"/>
  <c r="N67" i="6"/>
  <c r="M67" i="6"/>
  <c r="L67" i="6"/>
  <c r="K67" i="6"/>
  <c r="I67" i="6"/>
  <c r="H67" i="6"/>
  <c r="G67" i="6"/>
  <c r="F67" i="6"/>
  <c r="T66" i="6"/>
  <c r="S66" i="6"/>
  <c r="R66" i="6"/>
  <c r="Q66" i="6"/>
  <c r="P66" i="6"/>
  <c r="O66" i="6"/>
  <c r="N66" i="6"/>
  <c r="M66" i="6"/>
  <c r="L66" i="6"/>
  <c r="K66" i="6"/>
  <c r="J66" i="6"/>
  <c r="H66" i="6"/>
  <c r="G66" i="6"/>
  <c r="F66" i="6"/>
  <c r="T65" i="6"/>
  <c r="S65" i="6"/>
  <c r="R65" i="6"/>
  <c r="Q65" i="6"/>
  <c r="P65" i="6"/>
  <c r="O65" i="6"/>
  <c r="N65" i="6"/>
  <c r="M65" i="6"/>
  <c r="L65" i="6"/>
  <c r="K65" i="6"/>
  <c r="J65" i="6"/>
  <c r="I65" i="6"/>
  <c r="G65" i="6"/>
  <c r="F65" i="6"/>
  <c r="T64" i="6"/>
  <c r="S64" i="6"/>
  <c r="R64" i="6"/>
  <c r="Q64" i="6"/>
  <c r="P64" i="6"/>
  <c r="O64" i="6"/>
  <c r="N64" i="6"/>
  <c r="M64" i="6"/>
  <c r="L64" i="6"/>
  <c r="K64" i="6"/>
  <c r="J64" i="6"/>
  <c r="I64" i="6"/>
  <c r="H64" i="6"/>
  <c r="T63" i="6"/>
  <c r="S63" i="6"/>
  <c r="R63" i="6"/>
  <c r="Q63" i="6"/>
  <c r="P63" i="6"/>
  <c r="O63" i="6"/>
  <c r="N63" i="6"/>
  <c r="M63" i="6"/>
  <c r="L63" i="6"/>
  <c r="K63" i="6"/>
  <c r="J63" i="6"/>
  <c r="I63" i="6"/>
  <c r="H63" i="6"/>
  <c r="G63"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49" i="6" s="1"/>
  <c r="H22" i="5" l="1"/>
  <c r="H21" i="5"/>
  <c r="H20" i="5"/>
  <c r="H19" i="5"/>
  <c r="H18" i="5"/>
  <c r="H16" i="5"/>
  <c r="H17" i="5"/>
  <c r="I22" i="5" l="1"/>
  <c r="I21" i="5"/>
  <c r="I20" i="5"/>
  <c r="I19" i="5"/>
  <c r="I18" i="5"/>
  <c r="I17" i="5"/>
  <c r="I16" i="5"/>
  <c r="H15" i="5"/>
  <c r="I15" i="5" s="1"/>
  <c r="I24" i="5" l="1"/>
  <c r="H23" i="5"/>
  <c r="B33" i="2" l="1"/>
  <c r="N36" i="2" l="1"/>
  <c r="M36" i="2"/>
  <c r="L36" i="2"/>
  <c r="T13" i="2" l="1"/>
  <c r="T6" i="2"/>
  <c r="D31" i="2"/>
  <c r="E31" i="2" s="1"/>
  <c r="F31" i="2" s="1"/>
  <c r="G31" i="2" s="1"/>
  <c r="H31" i="2" s="1"/>
  <c r="I31" i="2" s="1"/>
  <c r="J31" i="2" s="1"/>
  <c r="K31" i="2" s="1"/>
  <c r="L31" i="2" s="1"/>
  <c r="M31" i="2" s="1"/>
  <c r="N31" i="2" s="1"/>
  <c r="O31" i="2" s="1"/>
  <c r="P31" i="2" s="1"/>
  <c r="Q31" i="2" s="1"/>
  <c r="R31" i="2" s="1"/>
  <c r="S31" i="2" s="1"/>
  <c r="B32" i="2" l="1"/>
  <c r="C32" i="2"/>
  <c r="C33" i="2" s="1"/>
  <c r="C34" i="2" s="1"/>
  <c r="U33" i="2" l="1"/>
  <c r="U6" i="2" l="1"/>
  <c r="W32" i="2" l="1"/>
  <c r="T9" i="2" l="1"/>
  <c r="D32" i="2" l="1"/>
  <c r="E32" i="2" l="1"/>
  <c r="F32" i="2" s="1"/>
  <c r="G32" i="2" s="1"/>
  <c r="H32" i="2" s="1"/>
  <c r="I32" i="2" s="1"/>
  <c r="J32" i="2" s="1"/>
  <c r="K32" i="2" s="1"/>
  <c r="L32" i="2" s="1"/>
  <c r="M32" i="2" s="1"/>
  <c r="N32" i="2" s="1"/>
  <c r="O32" i="2" s="1"/>
  <c r="P32" i="2" s="1"/>
  <c r="Q32" i="2" s="1"/>
  <c r="D33" i="2"/>
  <c r="D34" i="2" s="1"/>
  <c r="R32" i="2" l="1"/>
  <c r="S32" i="2" s="1"/>
  <c r="Q33" i="2"/>
  <c r="Q34" i="2" s="1"/>
  <c r="E33" i="2"/>
  <c r="E34" i="2" s="1"/>
  <c r="F33" i="2"/>
  <c r="F34" i="2" s="1"/>
  <c r="V32" i="2" l="1"/>
  <c r="G33" i="2"/>
  <c r="G34" i="2" s="1"/>
  <c r="H33" i="2" l="1"/>
  <c r="H34" i="2" s="1"/>
  <c r="I33" i="2" l="1"/>
  <c r="I34" i="2" s="1"/>
  <c r="J33" i="2" l="1"/>
  <c r="J34" i="2" s="1"/>
  <c r="K33" i="2" l="1"/>
  <c r="K34" i="2" s="1"/>
  <c r="L33" i="2" l="1"/>
  <c r="L34" i="2" s="1"/>
  <c r="M33" i="2" l="1"/>
  <c r="M34" i="2" s="1"/>
  <c r="N33" i="2" l="1"/>
  <c r="N34" i="2" s="1"/>
  <c r="O33" i="2" l="1"/>
  <c r="O34" i="2" s="1"/>
  <c r="P33" i="2" l="1"/>
  <c r="P34" i="2" s="1"/>
  <c r="R33" i="2" l="1"/>
  <c r="R34" i="2" s="1"/>
  <c r="S33" i="2" l="1"/>
  <c r="V33" i="2" l="1"/>
  <c r="S34" i="2"/>
</calcChain>
</file>

<file path=xl/sharedStrings.xml><?xml version="1.0" encoding="utf-8"?>
<sst xmlns="http://schemas.openxmlformats.org/spreadsheetml/2006/main" count="304" uniqueCount="221">
  <si>
    <t>Utgangsdose</t>
  </si>
  <si>
    <t>Periode</t>
  </si>
  <si>
    <t>tbl</t>
  </si>
  <si>
    <t xml:space="preserve"> </t>
  </si>
  <si>
    <t>mg</t>
  </si>
  <si>
    <t>Total mengde uten avrunding</t>
  </si>
  <si>
    <t>Styrke</t>
  </si>
  <si>
    <t>Totalt antall tbl. etter avrunding</t>
  </si>
  <si>
    <t>Tabell 1 - Registreringsområde</t>
  </si>
  <si>
    <t>Total mengde</t>
  </si>
  <si>
    <t>Sobril</t>
  </si>
  <si>
    <t>Oppstartdato (DD.MM)</t>
  </si>
  <si>
    <t>Navn på legemiddel</t>
  </si>
  <si>
    <t>Doseenhet</t>
  </si>
  <si>
    <t>Antall dager per trinn</t>
  </si>
  <si>
    <t>Prosent reduksjon per trinn</t>
  </si>
  <si>
    <t xml:space="preserve">Regnearket er utarbeidet av Steinar Fosse og Svein Skjøtskift, Avd. for rusmedisin, Haukeland universitetssjukehus i samarbeid med Cato Innerdal, Molde kommune. </t>
  </si>
  <si>
    <t>For utskrift:</t>
  </si>
  <si>
    <t>Antall tabletter per trinn</t>
  </si>
  <si>
    <t>Nedtrapping av vanedannende legemidler</t>
  </si>
  <si>
    <t>Cutoff = &lt; 1/2  tablett</t>
  </si>
  <si>
    <t>2. Fil/Skriv ut: Velg "Skriv ut merket område", "Liggende papirretning", "Tilpass til én side".</t>
  </si>
  <si>
    <t>1. Merk hele området til Diagram 1 (inkludert overskrift).</t>
  </si>
  <si>
    <t>Tabell 2 - Dosering i mg og antall tabletter</t>
  </si>
  <si>
    <t>Diagram 1 - Nedtrappingskurve for vanedannende legemidler
Tallene over søylene angir antall tabletter per dag. Kurven viser bare hele og halve tabletter for:</t>
  </si>
  <si>
    <t>Preparatnavn</t>
  </si>
  <si>
    <t>Alprazolam</t>
  </si>
  <si>
    <t>Diazepam</t>
  </si>
  <si>
    <t>Nitrazepam</t>
  </si>
  <si>
    <t>Flunitrazepam</t>
  </si>
  <si>
    <t>Zolpidem</t>
  </si>
  <si>
    <t>Rivotril</t>
  </si>
  <si>
    <t>Sobril, Alopam</t>
  </si>
  <si>
    <t>Klonazepam</t>
  </si>
  <si>
    <t>Flunipam</t>
  </si>
  <si>
    <t>Oksazepam</t>
  </si>
  <si>
    <t>Zopiklon</t>
  </si>
  <si>
    <t>Stilnoct, Zolpidem</t>
  </si>
  <si>
    <t>1) Finn virkestoffet i det aktuelle preparatet.</t>
  </si>
  <si>
    <t>4) Dersom aktuelt, legg inn flere preparat. Disse summeres nederst i tabellen. Sum angitt er tilsvarende dose ved monoterapi med hhv. diazepam eller oksazepam.</t>
  </si>
  <si>
    <t>Virkestoff</t>
  </si>
  <si>
    <t>Tilsvarer i diazepam</t>
  </si>
  <si>
    <t>Tilsvarer i oksazepam</t>
  </si>
  <si>
    <t>Valium, Vival, Stesolid</t>
  </si>
  <si>
    <t xml:space="preserve">Xanor, </t>
  </si>
  <si>
    <t>Apodorm, Mogadon</t>
  </si>
  <si>
    <t>Imovane, Zopiclone, Zopiclon</t>
  </si>
  <si>
    <t>Tilsvarer i antall mg diazepam:</t>
  </si>
  <si>
    <t>Tilsvarende i antall mg oksazepam:</t>
  </si>
  <si>
    <t>Veiledning til utfylling av tabell 1:</t>
  </si>
  <si>
    <t>Dose i mg</t>
  </si>
  <si>
    <t>Versjon 20: 10. februar 2019</t>
  </si>
  <si>
    <t>0,5-1</t>
  </si>
  <si>
    <t>25-50</t>
  </si>
  <si>
    <t>15</t>
  </si>
  <si>
    <t>20</t>
  </si>
  <si>
    <t>5-10</t>
  </si>
  <si>
    <t>20-30</t>
  </si>
  <si>
    <t>10-20</t>
  </si>
  <si>
    <t>10</t>
  </si>
  <si>
    <t>7,5-10</t>
  </si>
  <si>
    <t>15-25</t>
  </si>
  <si>
    <t>Ekvipotens til 10 mg diazepam</t>
  </si>
  <si>
    <t>1 (0,5-1)</t>
  </si>
  <si>
    <t>0,5 (0,5-1)</t>
  </si>
  <si>
    <t>* Angir anbefalt verdi med variasjonsbredde basert på kilder i tabell 2 i parentes.</t>
  </si>
  <si>
    <t>10 (5-10)</t>
  </si>
  <si>
    <t>25 (15-50)</t>
  </si>
  <si>
    <t>15 (7,5-20)</t>
  </si>
  <si>
    <t>20 (10-20)</t>
  </si>
  <si>
    <t>Tabell 1:</t>
  </si>
  <si>
    <t xml:space="preserve">4. Jørgen Bramnes og Torgeir Gilje Lid (https://uni.no/media/attachments/publications/Allmennmed_utf_Utposten_5_2017w_1.pdf) </t>
  </si>
  <si>
    <t xml:space="preserve">2. Kunnskapssenteret (https://www.fhi.no/globalassets/dokumenterfiler/rapporter/2009-og-eldre/rapport_0706_benzodiazepiner.pdf) </t>
  </si>
  <si>
    <t xml:space="preserve">3. The Ashton Manual (https://benzo.org.uk). </t>
  </si>
  <si>
    <t>1. Helsedirektoratet (https://helsedirektoratet.no/retningslinjer/vanedannende-legemidler)</t>
  </si>
  <si>
    <t>Tabell 2</t>
  </si>
  <si>
    <t>2) Skriv inn aktuelle dose i "Dose i mg" (gult felt) og ønsket ekvipotensverdi (anbefalt verdi er "predefinert"). Ekvipotensverdier fra ulike kunnskapskilder er angitt i tabell 2.</t>
  </si>
  <si>
    <t xml:space="preserve">3) Mengden som tilsvarer benzodiazepinet brukt som diazepam og oksazepam kommer opp i til høyre i tabell 1. </t>
  </si>
  <si>
    <t>5. Offisielle verdier for Definerte Døgndoser (DDD) iht. WHO: https://www.whocc.no/atc_ddd_index/</t>
  </si>
  <si>
    <t>Versjon 1 - 11.2.19 Kommuneoverlege Cato Innerdal og overlege Svein Skjøtskift</t>
  </si>
  <si>
    <t>Verktøy for omregning av ekvivalente doser opioider og summering av totaldose i morfinekvivalenter</t>
  </si>
  <si>
    <t>Laget av kommuneoverlege Cato Innerdal og overlege Svein Skjøteskift. Vertøyet er delvis laget med utgangspunkt i tilsvarende regneark fra Helfo. Det er videre gjort justeringer for ekvivalentratio dose iht. opplysninger hentet fra Norsk legemiddelhåndbok. Det tas forbehold om feil/unøyaktighet. Brukes på eget ansvar.</t>
  </si>
  <si>
    <t>Tabell 1: Konvertering til orale morfinekvivalenter</t>
  </si>
  <si>
    <t>Formulering</t>
  </si>
  <si>
    <t>Ekvivalent-ratio</t>
  </si>
  <si>
    <t>OMEQ</t>
  </si>
  <si>
    <t>Morfin</t>
  </si>
  <si>
    <t>Tabletter</t>
  </si>
  <si>
    <t>Morfin tabletter</t>
  </si>
  <si>
    <t>Depottabletter</t>
  </si>
  <si>
    <t>Dolcontin, Malfin</t>
  </si>
  <si>
    <t>1)</t>
  </si>
  <si>
    <t>Finn virkestoffet som er et opioid i det aktuelle preparatet.</t>
  </si>
  <si>
    <t>Depotgranulat til mikstur</t>
  </si>
  <si>
    <t>Dolcontin</t>
  </si>
  <si>
    <t>Mikstur</t>
  </si>
  <si>
    <t>Morfin, Oramorph</t>
  </si>
  <si>
    <t>2)</t>
  </si>
  <si>
    <t>Regn ut brukerens døgndose av virkestoffet (for plaster er det i  styrken i mcg og ingen utregning nødvendig).</t>
  </si>
  <si>
    <t>Dråper</t>
  </si>
  <si>
    <t>Oramorph</t>
  </si>
  <si>
    <t>Injeksjonsvæske</t>
  </si>
  <si>
    <t>3)</t>
  </si>
  <si>
    <t>Finn linje i tabell med rett formulering.</t>
  </si>
  <si>
    <t>Oxycodone</t>
  </si>
  <si>
    <t>OxyContin Reltebon, Targiniq</t>
  </si>
  <si>
    <t>4)</t>
  </si>
  <si>
    <t>Registrer dose i mg (for plaster i mcg/t) i kolonne "Dose i mg" (gult felt).</t>
  </si>
  <si>
    <t>Kapsler</t>
  </si>
  <si>
    <t>Oxycodone, OxyNorm</t>
  </si>
  <si>
    <t>OxyNorm</t>
  </si>
  <si>
    <t>5)</t>
  </si>
  <si>
    <t>Mengden orale morfinekvivalenter (OMEQ) kommer opp i kolonne "OMEQ".</t>
  </si>
  <si>
    <t>Infusjons-/injeksjonsvæske</t>
  </si>
  <si>
    <t>Buprenorfin</t>
  </si>
  <si>
    <t>Depotplaster</t>
  </si>
  <si>
    <t>Norspan</t>
  </si>
  <si>
    <t>6)</t>
  </si>
  <si>
    <t>Dersom aktuelt, legg inn flere preparat og/eller formuleringer, disse summeres nederst i tabellen.</t>
  </si>
  <si>
    <t>Resoribletter/Sublingvaltab.</t>
  </si>
  <si>
    <t>Temgesic</t>
  </si>
  <si>
    <t>Fentanyl</t>
  </si>
  <si>
    <t>Durogesic, Fentanyl</t>
  </si>
  <si>
    <t xml:space="preserve">7) </t>
  </si>
  <si>
    <t xml:space="preserve">Dersom ønskelig kan man så bruke tabell 2 til å finne tilsvarende dose for et ønsket virkestoff. </t>
  </si>
  <si>
    <t>Abstral</t>
  </si>
  <si>
    <t>Nesespray</t>
  </si>
  <si>
    <t>Istanyl, PecFent</t>
  </si>
  <si>
    <t>*</t>
  </si>
  <si>
    <t>Ekvivalentratio (morfin/aktuelle virkestoff) = forholdstallet mellom doser av morfin og aktuelle virkestoff med tilsvarende virkning.</t>
  </si>
  <si>
    <t>Hydromorfon</t>
  </si>
  <si>
    <t>Palladon</t>
  </si>
  <si>
    <t>Depotkapsler</t>
  </si>
  <si>
    <r>
      <rPr>
        <b/>
        <sz val="11"/>
        <color theme="1"/>
        <rFont val="Calibri"/>
        <family val="2"/>
        <scheme val="minor"/>
      </rPr>
      <t>Eksempel på bruk:</t>
    </r>
    <r>
      <rPr>
        <sz val="11"/>
        <color theme="1"/>
        <rFont val="Calibri"/>
        <family val="2"/>
        <scheme val="minor"/>
      </rPr>
      <t xml:space="preserve">
Pasient som bruker 4 Paralgin forte tabletter daglig. I tillegg bruker pasienten 1 x 150 mg Tramagetic OD (depotabletter). Av Felleskatalogen framgår det at hver tablett Paralgin forte inneholder 30 mg kodein. Skriv hhv. 120 mg (4 x 30 mg) på kodein og 150 mg på tramadol (depottablett). 
Du finner da ut at 4 Paralgin forte tilsvarer 18 mg morfin og 150 mg Tramagetic OD tilsvarer 15 mg morfin. 
På denne måten kan du bruke tabellen både til å summere opioidlegemidler som pasienten bruker, samt finne ekvivalentdoser for ulike opioider. Dette kan være nyttig dersom du ønsker å "samle" flere opioider til ett opioid.</t>
    </r>
  </si>
  <si>
    <t>Ketobemidon</t>
  </si>
  <si>
    <t>Ketorax</t>
  </si>
  <si>
    <t>Stikkpiller</t>
  </si>
  <si>
    <t>Ketogan</t>
  </si>
  <si>
    <t>Ketorax, Ketobemidon</t>
  </si>
  <si>
    <t>Petidin</t>
  </si>
  <si>
    <t>Kodein</t>
  </si>
  <si>
    <t>Altermol, Paralgin/Pinex forte, Paramax Comp</t>
  </si>
  <si>
    <t>Brusetabletter</t>
  </si>
  <si>
    <t>Pinex forte</t>
  </si>
  <si>
    <t>Paralgin/Pinex forte, Paralgin/Pinex major, Kodein</t>
  </si>
  <si>
    <t>Tramadol</t>
  </si>
  <si>
    <t>Tramadol, Trampalgin</t>
  </si>
  <si>
    <t>Nobligan, Tramadol, Tramdol</t>
  </si>
  <si>
    <t>Nobligan, Tramagetic</t>
  </si>
  <si>
    <t>Metadon</t>
  </si>
  <si>
    <t>Tapentadol</t>
  </si>
  <si>
    <t>Palexia</t>
  </si>
  <si>
    <t>Dekstropropoksyfen</t>
  </si>
  <si>
    <t>Abalgin</t>
  </si>
  <si>
    <t xml:space="preserve">Tablett </t>
  </si>
  <si>
    <t>Dihydrocodein</t>
  </si>
  <si>
    <t>Dihydrokodein</t>
  </si>
  <si>
    <t>DHC Conitus</t>
  </si>
  <si>
    <t>Dihydrocodein Tartrate</t>
  </si>
  <si>
    <t xml:space="preserve">Sum morfinekvivalenter: </t>
  </si>
  <si>
    <t>Tabell 2: Ekvivalentdoser</t>
  </si>
  <si>
    <r>
      <t xml:space="preserve">Veiledende tabell for omregning til ekvivalente doser opioider: Endre tallet i </t>
    </r>
    <r>
      <rPr>
        <b/>
        <sz val="11"/>
        <color rgb="FF00B050"/>
        <rFont val="Calibri"/>
        <family val="2"/>
        <scheme val="minor"/>
      </rPr>
      <t>"grønt felt"</t>
    </r>
    <r>
      <rPr>
        <b/>
        <sz val="11"/>
        <color theme="1"/>
        <rFont val="Calibri"/>
        <family val="2"/>
        <scheme val="minor"/>
      </rPr>
      <t xml:space="preserve"> til den dose du ønsker å regne om, avles ulike ekvivalentdoser i samme kolonne</t>
    </r>
  </si>
  <si>
    <r>
      <t xml:space="preserve">Samleverdi for orale morfinekvivalenter fra tabell 1 kan overføres til </t>
    </r>
    <r>
      <rPr>
        <b/>
        <sz val="11"/>
        <color rgb="FF00B0F0"/>
        <rFont val="Calibri"/>
        <family val="2"/>
        <scheme val="minor"/>
      </rPr>
      <t>"blått felt"</t>
    </r>
    <r>
      <rPr>
        <b/>
        <sz val="11"/>
        <color theme="1"/>
        <rFont val="Calibri"/>
        <family val="2"/>
        <scheme val="minor"/>
      </rPr>
      <t xml:space="preserve"> for "Morfin PO" for å finne tilsvarende doser for andre virkestoffer (i gule felter). </t>
    </r>
  </si>
  <si>
    <t>NB: Verdiene i tabellen er regnet ut fra norsk konsensus, dvs. Felleskatalogen, praksis fra LAR og Smerteklinikken ved HUS, Helse Bergen</t>
  </si>
  <si>
    <t>DDD = Definert døgndose er "den vanligste dosen for den vanligste indikasjonen for legemidlet".  For enkelte legemidler kan effekten variere fra individ til individ. Kilde: http://www.whocc.no/atc_ddd_index/</t>
  </si>
  <si>
    <t>Andre forkortelser: TD = transdermal, PO = per os, IV = intravenøs og SC = subkutant.</t>
  </si>
  <si>
    <t>Generisk navn</t>
  </si>
  <si>
    <t>Norsk konsensus for ekvivalente doser</t>
  </si>
  <si>
    <t>Definert døgndose (DDD) - WHO</t>
  </si>
  <si>
    <t>Buprenorfin (TD)</t>
  </si>
  <si>
    <t>Buprenorphine (PO) smerte</t>
  </si>
  <si>
    <t>Buprenorphine (PO) substitusjon</t>
  </si>
  <si>
    <t>Fentanyl (TD)</t>
  </si>
  <si>
    <t>Ketobemidon (PO)</t>
  </si>
  <si>
    <t>Ketobemidon (IV, SC)</t>
  </si>
  <si>
    <t>Kodein (PO)</t>
  </si>
  <si>
    <t>Morfin (PO)</t>
  </si>
  <si>
    <t>Morfin (IV, SC)</t>
  </si>
  <si>
    <t>Oksykodon (PO)</t>
  </si>
  <si>
    <t>Oksykodon (IV, SC)</t>
  </si>
  <si>
    <t>Sufentanil (IV, SC)</t>
  </si>
  <si>
    <t>Tramadol (PO)</t>
  </si>
  <si>
    <t>Metadon (PO)</t>
  </si>
  <si>
    <t>15 ug/time</t>
  </si>
  <si>
    <t>Buprenorfin (PO) smerte</t>
  </si>
  <si>
    <t>Buprenorphine, Subutex, Suboxone, Temgeisc</t>
  </si>
  <si>
    <r>
      <t xml:space="preserve">1,2 mg </t>
    </r>
    <r>
      <rPr>
        <sz val="11"/>
        <color theme="1"/>
        <rFont val="Calibri"/>
        <family val="2"/>
        <scheme val="minor"/>
      </rPr>
      <t>(smerte)</t>
    </r>
  </si>
  <si>
    <t>1,2 mg</t>
  </si>
  <si>
    <t>Buprenorfine (PO) substitusjon</t>
  </si>
  <si>
    <t>Buprenorphine, Subutex, Suboxone, Temgesic</t>
  </si>
  <si>
    <r>
      <t xml:space="preserve"> 8 mg </t>
    </r>
    <r>
      <rPr>
        <sz val="11"/>
        <color theme="1"/>
        <rFont val="Calibri"/>
        <family val="2"/>
        <scheme val="minor"/>
      </rPr>
      <t>(substitusjon)</t>
    </r>
  </si>
  <si>
    <t>ingen</t>
  </si>
  <si>
    <t>12 ug/time</t>
  </si>
  <si>
    <t>Ketogan, Ketorax</t>
  </si>
  <si>
    <t>30 mg</t>
  </si>
  <si>
    <t>50 mg</t>
  </si>
  <si>
    <t>10 mg</t>
  </si>
  <si>
    <t>Kodein (25 mg), Paralgin forte (30 mg), Pinex forte (30 mg)</t>
  </si>
  <si>
    <t>6 tabletter</t>
  </si>
  <si>
    <t>100 mg</t>
  </si>
  <si>
    <t>Dolcontin, Morfin, Oramorf</t>
  </si>
  <si>
    <t xml:space="preserve">30 mg </t>
  </si>
  <si>
    <t>Oxycodone, OxyContin, Oxynorm, Reltebon, Targiniq</t>
  </si>
  <si>
    <t>15 mg</t>
  </si>
  <si>
    <t>75 mg</t>
  </si>
  <si>
    <t>Oxycodone (IV, SC)</t>
  </si>
  <si>
    <t>7,5 mg</t>
  </si>
  <si>
    <t>Sufenta</t>
  </si>
  <si>
    <t>0,01 mg</t>
  </si>
  <si>
    <t>Nobligan, Tramagetic, Tramadol</t>
  </si>
  <si>
    <t>150 mg</t>
  </si>
  <si>
    <t>300 mg</t>
  </si>
  <si>
    <t>Metadon DNE, Metadon Pharmadone</t>
  </si>
  <si>
    <t>25 mg</t>
  </si>
  <si>
    <t>Hydromorfon (PO)</t>
  </si>
  <si>
    <t>4 mg</t>
  </si>
  <si>
    <t>20 mg</t>
  </si>
  <si>
    <t>Valgt ekvivalens-verdi</t>
  </si>
  <si>
    <t>Ekvivalent-dose til 10 mg diazepam*</t>
  </si>
  <si>
    <t>Verktøyet er laget med utgangspunkt i "konverteringsverdier" basert på ratio mellom aktuelle DDD-verdier. Det er gjort tilpasninger basert på kliniske erfaringer. Verktøyet må derfor brukes med dette som utgangspunkt og på eget ansvar. Dosen som skal gis må alltid vurderes individuelt og konkret. De veiledende verdiene kan både være for høye og for lave. Lenke til offisielle DDD-verdier iht. WHO: https://www.whocc.no/atc_ddd_index/.</t>
  </si>
  <si>
    <t>Verktøy for omregning av ekvivalente doser benzodiazepiner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</si>
</sst>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 &quot;?/2"/>
    <numFmt numFmtId="166" formatCode="d/m/yy;@"/>
    <numFmt numFmtId="167" formatCode="d/m/;@"/>
    <numFmt numFmtId="168" formatCode="0.000"/>
  </numFmts>
  <fonts count="24" x14ac:knownFonts="1">
    <font>
      <sz val="11"/>
      <color theme="1"/>
      <name val="Calibri"/>
      <family val="2"/>
      <scheme val="minor"/>
    </font>
    <font>
      <b/>
      <sz val="11"/>
      <color rgb="FFFF0000"/>
      <name val="Calibri"/>
      <family val="2"/>
      <scheme val="minor"/>
    </font>
    <font>
      <b/>
      <sz val="11"/>
      <color theme="1"/>
      <name val="Calibri"/>
      <family val="2"/>
      <scheme val="minor"/>
    </font>
    <font>
      <b/>
      <sz val="11"/>
      <color rgb="FFC00000"/>
      <name val="Calibri"/>
      <family val="2"/>
      <scheme val="minor"/>
    </font>
    <font>
      <b/>
      <sz val="14"/>
      <color rgb="FFFF0000"/>
      <name val="Calibri"/>
      <family val="2"/>
      <scheme val="minor"/>
    </font>
    <font>
      <sz val="14"/>
      <color theme="1"/>
      <name val="Calibri"/>
      <family val="2"/>
      <scheme val="minor"/>
    </font>
    <font>
      <sz val="11"/>
      <name val="Calibri"/>
      <family val="2"/>
      <scheme val="minor"/>
    </font>
    <font>
      <b/>
      <sz val="11"/>
      <color theme="9" tint="-0.499984740745262"/>
      <name val="Calibri"/>
      <family val="2"/>
      <scheme val="minor"/>
    </font>
    <font>
      <b/>
      <sz val="11"/>
      <name val="Calibri"/>
      <family val="2"/>
      <scheme val="minor"/>
    </font>
    <font>
      <b/>
      <sz val="14"/>
      <color theme="1"/>
      <name val="Calibri"/>
      <family val="2"/>
      <scheme val="minor"/>
    </font>
    <font>
      <b/>
      <sz val="14"/>
      <color theme="4" tint="-0.249977111117893"/>
      <name val="Calibri"/>
      <family val="2"/>
      <scheme val="minor"/>
    </font>
    <font>
      <sz val="12"/>
      <name val="Calibri"/>
      <family val="2"/>
      <scheme val="minor"/>
    </font>
    <font>
      <b/>
      <sz val="12"/>
      <color rgb="FFFF0000"/>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8"/>
      <name val="Calibri"/>
      <family val="2"/>
      <scheme val="minor"/>
    </font>
    <font>
      <i/>
      <sz val="11"/>
      <name val="Calibri"/>
      <family val="2"/>
      <scheme val="minor"/>
    </font>
    <font>
      <sz val="11"/>
      <color rgb="FF006100"/>
      <name val="Calibri"/>
      <family val="2"/>
      <scheme val="minor"/>
    </font>
    <font>
      <sz val="9"/>
      <color theme="1"/>
      <name val="Calibri"/>
      <family val="2"/>
      <scheme val="minor"/>
    </font>
    <font>
      <b/>
      <sz val="11"/>
      <color rgb="FF00B050"/>
      <name val="Calibri"/>
      <family val="2"/>
      <scheme val="minor"/>
    </font>
    <font>
      <b/>
      <sz val="11"/>
      <color rgb="FF00B0F0"/>
      <name val="Calibri"/>
      <family val="2"/>
      <scheme val="minor"/>
    </font>
    <font>
      <u/>
      <sz val="11"/>
      <color theme="10"/>
      <name val="Calibri"/>
      <family val="2"/>
      <scheme val="minor"/>
    </font>
    <font>
      <b/>
      <sz val="12"/>
      <color rgb="FF006100"/>
      <name val="Calibri"/>
      <family val="2"/>
      <scheme val="minor"/>
    </font>
  </fonts>
  <fills count="21">
    <fill>
      <patternFill patternType="none"/>
    </fill>
    <fill>
      <patternFill patternType="gray125"/>
    </fill>
    <fill>
      <patternFill patternType="solid">
        <fgColor theme="5" tint="0.39997558519241921"/>
        <bgColor indexed="64"/>
      </patternFill>
    </fill>
    <fill>
      <patternFill patternType="solid">
        <fgColor theme="2"/>
        <bgColor indexed="64"/>
      </patternFill>
    </fill>
    <fill>
      <patternFill patternType="solid">
        <fgColor theme="5" tint="0.3999450666829432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6EFCE"/>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CCFF"/>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diagonal/>
    </border>
    <border>
      <left/>
      <right style="thick">
        <color auto="1"/>
      </right>
      <top/>
      <bottom/>
      <diagonal/>
    </border>
    <border>
      <left/>
      <right style="thick">
        <color auto="1"/>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ck">
        <color auto="1"/>
      </right>
      <top style="medium">
        <color indexed="64"/>
      </top>
      <bottom/>
      <diagonal/>
    </border>
    <border>
      <left style="medium">
        <color indexed="64"/>
      </left>
      <right/>
      <top/>
      <bottom style="medium">
        <color indexed="64"/>
      </bottom>
      <diagonal/>
    </border>
    <border>
      <left/>
      <right style="thick">
        <color auto="1"/>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0" fontId="18" fillId="14" borderId="0" applyNumberFormat="0" applyBorder="0" applyAlignment="0" applyProtection="0"/>
    <xf numFmtId="0" fontId="22" fillId="0" borderId="0" applyNumberFormat="0" applyFill="0" applyBorder="0" applyAlignment="0" applyProtection="0"/>
  </cellStyleXfs>
  <cellXfs count="262">
    <xf numFmtId="0" fontId="0" fillId="0" borderId="0" xfId="0"/>
    <xf numFmtId="0" fontId="2" fillId="5" borderId="9"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1" fillId="0" borderId="8" xfId="0" applyFont="1" applyFill="1" applyBorder="1" applyAlignment="1" applyProtection="1">
      <protection hidden="1"/>
    </xf>
    <xf numFmtId="0" fontId="0" fillId="0" borderId="7" xfId="0" applyFill="1" applyBorder="1" applyAlignment="1" applyProtection="1">
      <protection hidden="1"/>
    </xf>
    <xf numFmtId="0" fontId="8" fillId="0" borderId="10" xfId="0" applyFont="1" applyFill="1" applyBorder="1" applyAlignment="1" applyProtection="1">
      <alignment horizontal="center"/>
      <protection hidden="1"/>
    </xf>
    <xf numFmtId="0" fontId="0" fillId="0" borderId="0" xfId="0" applyProtection="1">
      <protection hidden="1"/>
    </xf>
    <xf numFmtId="0" fontId="0" fillId="0" borderId="0" xfId="0" applyAlignment="1" applyProtection="1">
      <alignment wrapText="1"/>
      <protection hidden="1"/>
    </xf>
    <xf numFmtId="0" fontId="5" fillId="0" borderId="0" xfId="0" applyFont="1" applyProtection="1">
      <protection hidden="1"/>
    </xf>
    <xf numFmtId="0" fontId="0" fillId="0" borderId="1" xfId="0" applyBorder="1" applyAlignment="1" applyProtection="1">
      <alignment horizontal="center"/>
      <protection hidden="1"/>
    </xf>
    <xf numFmtId="0" fontId="0" fillId="0" borderId="1" xfId="0" applyBorder="1" applyAlignment="1" applyProtection="1">
      <alignment horizontal="left"/>
      <protection hidden="1"/>
    </xf>
    <xf numFmtId="0" fontId="0" fillId="3" borderId="1" xfId="0" applyFill="1" applyBorder="1" applyAlignment="1" applyProtection="1">
      <alignment horizontal="left"/>
      <protection hidden="1"/>
    </xf>
    <xf numFmtId="0" fontId="7" fillId="4" borderId="1" xfId="0" applyFont="1" applyFill="1" applyBorder="1" applyAlignment="1" applyProtection="1">
      <alignment horizontal="left" wrapText="1"/>
      <protection hidden="1"/>
    </xf>
    <xf numFmtId="1" fontId="7" fillId="4" borderId="2" xfId="0" quotePrefix="1" applyNumberFormat="1" applyFont="1" applyFill="1" applyBorder="1" applyAlignment="1" applyProtection="1">
      <alignment horizontal="right"/>
      <protection hidden="1"/>
    </xf>
    <xf numFmtId="0" fontId="7" fillId="4" borderId="1" xfId="0" applyFont="1" applyFill="1" applyBorder="1" applyAlignment="1" applyProtection="1">
      <alignment horizontal="center" wrapText="1"/>
      <protection hidden="1"/>
    </xf>
    <xf numFmtId="165" fontId="7" fillId="4" borderId="2" xfId="0" quotePrefix="1" applyNumberFormat="1" applyFont="1" applyFill="1" applyBorder="1" applyAlignment="1" applyProtection="1">
      <alignment horizontal="right"/>
      <protection hidden="1"/>
    </xf>
    <xf numFmtId="0" fontId="0" fillId="0" borderId="5" xfId="0" applyFill="1" applyBorder="1" applyAlignment="1" applyProtection="1">
      <protection hidden="1"/>
    </xf>
    <xf numFmtId="0" fontId="2" fillId="0" borderId="5" xfId="0" applyFont="1" applyFill="1" applyBorder="1" applyAlignment="1" applyProtection="1">
      <alignment horizontal="center"/>
      <protection hidden="1"/>
    </xf>
    <xf numFmtId="0" fontId="0" fillId="0" borderId="11" xfId="0" applyFill="1" applyBorder="1" applyAlignment="1" applyProtection="1">
      <protection hidden="1"/>
    </xf>
    <xf numFmtId="0" fontId="7" fillId="4" borderId="3" xfId="0" applyFont="1" applyFill="1" applyBorder="1" applyAlignment="1" applyProtection="1">
      <alignment horizontal="left"/>
      <protection hidden="1"/>
    </xf>
    <xf numFmtId="0" fontId="2" fillId="0" borderId="5" xfId="0" applyFont="1" applyFill="1" applyBorder="1" applyAlignment="1" applyProtection="1">
      <alignment horizontal="center"/>
      <protection locked="0"/>
    </xf>
    <xf numFmtId="0" fontId="12" fillId="0" borderId="7" xfId="0" applyFont="1" applyFill="1" applyBorder="1" applyAlignment="1" applyProtection="1">
      <protection hidden="1"/>
    </xf>
    <xf numFmtId="0" fontId="13" fillId="0" borderId="7" xfId="0" applyFont="1" applyFill="1" applyBorder="1" applyAlignment="1" applyProtection="1">
      <protection hidden="1"/>
    </xf>
    <xf numFmtId="0" fontId="14" fillId="0" borderId="2" xfId="0" applyFont="1" applyBorder="1" applyAlignment="1" applyProtection="1">
      <alignment horizontal="left"/>
      <protection hidden="1"/>
    </xf>
    <xf numFmtId="0" fontId="14" fillId="0" borderId="6" xfId="0" applyFont="1" applyBorder="1" applyAlignment="1" applyProtection="1">
      <alignment horizontal="center"/>
      <protection hidden="1"/>
    </xf>
    <xf numFmtId="0" fontId="7" fillId="3" borderId="1" xfId="0" applyFont="1" applyFill="1" applyBorder="1" applyAlignment="1" applyProtection="1">
      <alignment horizontal="right"/>
      <protection hidden="1"/>
    </xf>
    <xf numFmtId="0" fontId="0" fillId="0" borderId="1" xfId="0" applyFill="1" applyBorder="1" applyProtection="1">
      <protection hidden="1"/>
    </xf>
    <xf numFmtId="0" fontId="0" fillId="0" borderId="1" xfId="0" applyFill="1" applyBorder="1" applyAlignment="1" applyProtection="1">
      <alignment horizontal="center"/>
      <protection hidden="1"/>
    </xf>
    <xf numFmtId="11" fontId="0" fillId="0" borderId="2" xfId="0" applyNumberFormat="1" applyFill="1" applyBorder="1" applyAlignment="1" applyProtection="1">
      <alignment horizontal="left"/>
      <protection hidden="1"/>
    </xf>
    <xf numFmtId="11" fontId="0" fillId="0" borderId="3" xfId="0" applyNumberFormat="1" applyFill="1" applyBorder="1" applyAlignment="1" applyProtection="1">
      <alignment horizontal="left"/>
      <protection hidden="1"/>
    </xf>
    <xf numFmtId="165" fontId="0" fillId="2" borderId="12" xfId="0" applyNumberFormat="1" applyFill="1" applyBorder="1" applyAlignment="1" applyProtection="1">
      <alignment wrapText="1"/>
      <protection hidden="1"/>
    </xf>
    <xf numFmtId="0" fontId="0" fillId="5" borderId="13" xfId="0" applyFill="1" applyBorder="1" applyAlignment="1" applyProtection="1">
      <alignment horizontal="left"/>
      <protection hidden="1"/>
    </xf>
    <xf numFmtId="1" fontId="15" fillId="3" borderId="1" xfId="0" quotePrefix="1" applyNumberFormat="1" applyFont="1" applyFill="1" applyBorder="1" applyAlignment="1" applyProtection="1">
      <alignment horizontal="center"/>
      <protection hidden="1"/>
    </xf>
    <xf numFmtId="165" fontId="15" fillId="2" borderId="12" xfId="0" applyNumberFormat="1" applyFont="1" applyFill="1" applyBorder="1" applyAlignment="1" applyProtection="1">
      <protection hidden="1"/>
    </xf>
    <xf numFmtId="165" fontId="15" fillId="2" borderId="12" xfId="0" applyNumberFormat="1" applyFont="1" applyFill="1" applyBorder="1" applyAlignment="1" applyProtection="1">
      <alignment horizontal="center" wrapText="1"/>
      <protection hidden="1"/>
    </xf>
    <xf numFmtId="165" fontId="15" fillId="5" borderId="14" xfId="0" applyNumberFormat="1" applyFont="1" applyFill="1" applyBorder="1" applyAlignment="1" applyProtection="1">
      <protection hidden="1"/>
    </xf>
    <xf numFmtId="165" fontId="15" fillId="5" borderId="15" xfId="0" applyNumberFormat="1" applyFont="1" applyFill="1" applyBorder="1" applyAlignment="1" applyProtection="1">
      <protection hidden="1"/>
    </xf>
    <xf numFmtId="0" fontId="10" fillId="6" borderId="0" xfId="0" applyFont="1" applyFill="1" applyBorder="1" applyAlignment="1" applyProtection="1">
      <alignment horizontal="left"/>
      <protection hidden="1"/>
    </xf>
    <xf numFmtId="0" fontId="0" fillId="6" borderId="0" xfId="0" applyFill="1" applyBorder="1" applyAlignment="1" applyProtection="1">
      <protection hidden="1"/>
    </xf>
    <xf numFmtId="0" fontId="0" fillId="6" borderId="4" xfId="0" applyFill="1" applyBorder="1" applyProtection="1">
      <protection hidden="1"/>
    </xf>
    <xf numFmtId="0" fontId="8" fillId="6" borderId="4" xfId="0" applyFont="1" applyFill="1" applyBorder="1" applyAlignment="1" applyProtection="1">
      <protection hidden="1"/>
    </xf>
    <xf numFmtId="0" fontId="8" fillId="6" borderId="0" xfId="0" applyFont="1" applyFill="1" applyBorder="1" applyAlignment="1" applyProtection="1">
      <protection hidden="1"/>
    </xf>
    <xf numFmtId="0" fontId="0" fillId="6" borderId="0" xfId="0" applyFill="1" applyBorder="1" applyProtection="1">
      <protection hidden="1"/>
    </xf>
    <xf numFmtId="0" fontId="8" fillId="6" borderId="0" xfId="0" applyFont="1" applyFill="1" applyBorder="1" applyAlignment="1" applyProtection="1">
      <alignment horizontal="center"/>
      <protection hidden="1"/>
    </xf>
    <xf numFmtId="0" fontId="8" fillId="6" borderId="0" xfId="0" applyFont="1" applyFill="1" applyBorder="1" applyProtection="1">
      <protection hidden="1"/>
    </xf>
    <xf numFmtId="0" fontId="0" fillId="6" borderId="0" xfId="0" applyFill="1" applyBorder="1" applyAlignment="1" applyProtection="1">
      <alignment horizontal="left"/>
      <protection hidden="1"/>
    </xf>
    <xf numFmtId="165" fontId="0" fillId="6" borderId="0" xfId="0" applyNumberFormat="1" applyFill="1" applyBorder="1" applyAlignment="1" applyProtection="1">
      <alignment horizontal="center"/>
      <protection hidden="1"/>
    </xf>
    <xf numFmtId="0" fontId="2" fillId="6" borderId="0" xfId="0" applyFont="1" applyFill="1" applyBorder="1" applyAlignment="1" applyProtection="1">
      <alignment horizontal="center"/>
      <protection hidden="1"/>
    </xf>
    <xf numFmtId="0" fontId="0" fillId="6" borderId="8" xfId="0" applyFill="1" applyBorder="1" applyProtection="1">
      <protection hidden="1"/>
    </xf>
    <xf numFmtId="0" fontId="0" fillId="6" borderId="16" xfId="0" applyFill="1" applyBorder="1" applyProtection="1">
      <protection hidden="1"/>
    </xf>
    <xf numFmtId="0" fontId="0" fillId="6" borderId="17" xfId="0" applyFill="1" applyBorder="1" applyProtection="1">
      <protection hidden="1"/>
    </xf>
    <xf numFmtId="0" fontId="5" fillId="6" borderId="7" xfId="0" applyFont="1" applyFill="1" applyBorder="1" applyProtection="1">
      <protection hidden="1"/>
    </xf>
    <xf numFmtId="0" fontId="5" fillId="6" borderId="0" xfId="0" applyFont="1" applyFill="1" applyBorder="1" applyProtection="1">
      <protection hidden="1"/>
    </xf>
    <xf numFmtId="0" fontId="9" fillId="6" borderId="0" xfId="0" applyFont="1" applyFill="1" applyBorder="1" applyProtection="1">
      <protection hidden="1"/>
    </xf>
    <xf numFmtId="0" fontId="5" fillId="6" borderId="18" xfId="0" applyFont="1" applyFill="1" applyBorder="1" applyProtection="1">
      <protection hidden="1"/>
    </xf>
    <xf numFmtId="0" fontId="0" fillId="6" borderId="7" xfId="0" applyFill="1" applyBorder="1" applyProtection="1">
      <protection hidden="1"/>
    </xf>
    <xf numFmtId="0" fontId="0" fillId="6" borderId="0" xfId="0" applyFont="1" applyFill="1" applyBorder="1" applyProtection="1">
      <protection hidden="1"/>
    </xf>
    <xf numFmtId="15" fontId="9" fillId="6" borderId="0" xfId="0" applyNumberFormat="1" applyFont="1" applyFill="1" applyBorder="1" applyProtection="1">
      <protection hidden="1"/>
    </xf>
    <xf numFmtId="0" fontId="0" fillId="6" borderId="18" xfId="0" applyFill="1" applyBorder="1" applyProtection="1">
      <protection hidden="1"/>
    </xf>
    <xf numFmtId="0" fontId="4" fillId="6" borderId="0" xfId="0" applyFont="1" applyFill="1" applyBorder="1" applyAlignment="1" applyProtection="1">
      <alignment horizontal="center"/>
      <protection hidden="1"/>
    </xf>
    <xf numFmtId="0" fontId="0" fillId="6" borderId="7" xfId="0" applyFill="1" applyBorder="1" applyAlignment="1" applyProtection="1">
      <alignment wrapText="1"/>
      <protection hidden="1"/>
    </xf>
    <xf numFmtId="0" fontId="0" fillId="6" borderId="0" xfId="0" applyFill="1" applyBorder="1" applyAlignment="1" applyProtection="1">
      <alignment wrapText="1"/>
      <protection hidden="1"/>
    </xf>
    <xf numFmtId="0" fontId="0" fillId="6" borderId="18" xfId="0" applyFill="1" applyBorder="1" applyAlignment="1" applyProtection="1">
      <alignment wrapText="1"/>
      <protection hidden="1"/>
    </xf>
    <xf numFmtId="1" fontId="10" fillId="6" borderId="0" xfId="0" quotePrefix="1" applyNumberFormat="1" applyFont="1" applyFill="1" applyBorder="1" applyAlignment="1" applyProtection="1">
      <alignment horizontal="left" wrapText="1"/>
      <protection hidden="1"/>
    </xf>
    <xf numFmtId="1" fontId="10" fillId="6" borderId="0" xfId="0" quotePrefix="1" applyNumberFormat="1" applyFont="1" applyFill="1" applyBorder="1" applyAlignment="1" applyProtection="1">
      <alignment horizontal="right" wrapText="1"/>
      <protection hidden="1"/>
    </xf>
    <xf numFmtId="1" fontId="0" fillId="6" borderId="0" xfId="0" quotePrefix="1" applyNumberFormat="1" applyFill="1" applyBorder="1" applyProtection="1">
      <protection hidden="1"/>
    </xf>
    <xf numFmtId="0" fontId="6" fillId="6" borderId="0" xfId="0" applyFont="1" applyFill="1" applyBorder="1" applyProtection="1">
      <protection hidden="1"/>
    </xf>
    <xf numFmtId="0" fontId="1" fillId="6" borderId="0" xfId="0" applyFont="1" applyFill="1" applyBorder="1" applyProtection="1">
      <protection hidden="1"/>
    </xf>
    <xf numFmtId="0" fontId="3" fillId="6" borderId="0" xfId="0" applyFont="1" applyFill="1" applyBorder="1" applyProtection="1">
      <protection hidden="1"/>
    </xf>
    <xf numFmtId="164" fontId="0" fillId="6" borderId="0" xfId="0" applyNumberFormat="1" applyFill="1" applyBorder="1" applyProtection="1">
      <protection hidden="1"/>
    </xf>
    <xf numFmtId="0" fontId="0" fillId="6" borderId="10" xfId="0" applyFill="1" applyBorder="1" applyProtection="1">
      <protection hidden="1"/>
    </xf>
    <xf numFmtId="0" fontId="0" fillId="6" borderId="19" xfId="0" applyFill="1" applyBorder="1" applyProtection="1">
      <protection hidden="1"/>
    </xf>
    <xf numFmtId="0" fontId="0" fillId="6" borderId="20" xfId="0" applyFill="1" applyBorder="1" applyProtection="1">
      <protection hidden="1"/>
    </xf>
    <xf numFmtId="1" fontId="10" fillId="6" borderId="0" xfId="0" quotePrefix="1" applyNumberFormat="1" applyFont="1" applyFill="1" applyBorder="1" applyAlignment="1" applyProtection="1">
      <alignment wrapText="1"/>
      <protection hidden="1"/>
    </xf>
    <xf numFmtId="1" fontId="15" fillId="3" borderId="1" xfId="0" applyNumberFormat="1" applyFont="1" applyFill="1" applyBorder="1" applyAlignment="1" applyProtection="1">
      <alignment horizontal="center"/>
      <protection hidden="1"/>
    </xf>
    <xf numFmtId="166" fontId="0" fillId="0" borderId="1" xfId="0" applyNumberFormat="1" applyBorder="1" applyAlignment="1" applyProtection="1">
      <alignment horizontal="center"/>
      <protection hidden="1"/>
    </xf>
    <xf numFmtId="167" fontId="2" fillId="5" borderId="5" xfId="0" applyNumberFormat="1" applyFont="1" applyFill="1" applyBorder="1" applyAlignment="1" applyProtection="1">
      <alignment horizontal="center"/>
      <protection locked="0"/>
    </xf>
    <xf numFmtId="0" fontId="0" fillId="6" borderId="0" xfId="0" applyFill="1" applyProtection="1">
      <protection hidden="1"/>
    </xf>
    <xf numFmtId="0" fontId="5" fillId="6" borderId="0" xfId="0" applyFont="1" applyFill="1" applyProtection="1">
      <protection hidden="1"/>
    </xf>
    <xf numFmtId="0" fontId="0" fillId="6" borderId="0" xfId="0" applyFill="1" applyAlignment="1" applyProtection="1">
      <alignment wrapText="1"/>
      <protection hidden="1"/>
    </xf>
    <xf numFmtId="0" fontId="0" fillId="6" borderId="0" xfId="0" applyFill="1"/>
    <xf numFmtId="0" fontId="0" fillId="6" borderId="0" xfId="0" applyFill="1" applyBorder="1"/>
    <xf numFmtId="0" fontId="0" fillId="6" borderId="19" xfId="0" applyFill="1" applyBorder="1"/>
    <xf numFmtId="0" fontId="0" fillId="6" borderId="0" xfId="0" applyFill="1" applyAlignment="1">
      <alignment horizontal="center"/>
    </xf>
    <xf numFmtId="0" fontId="0" fillId="6" borderId="8" xfId="0" applyFill="1" applyBorder="1"/>
    <xf numFmtId="0" fontId="0" fillId="6" borderId="17" xfId="0" applyFill="1" applyBorder="1"/>
    <xf numFmtId="0" fontId="0" fillId="6" borderId="7" xfId="0" applyFill="1" applyBorder="1"/>
    <xf numFmtId="0" fontId="0" fillId="6" borderId="0" xfId="0" applyFill="1" applyAlignment="1">
      <alignment wrapText="1"/>
    </xf>
    <xf numFmtId="0" fontId="0" fillId="6" borderId="7" xfId="0" applyFill="1" applyBorder="1" applyAlignment="1">
      <alignment wrapText="1"/>
    </xf>
    <xf numFmtId="0" fontId="0" fillId="6" borderId="18" xfId="0" applyFill="1" applyBorder="1" applyAlignment="1">
      <alignment wrapText="1"/>
    </xf>
    <xf numFmtId="0" fontId="0" fillId="0" borderId="0" xfId="0" applyAlignment="1">
      <alignment wrapText="1"/>
    </xf>
    <xf numFmtId="0" fontId="0" fillId="10" borderId="29" xfId="0" applyFill="1" applyBorder="1"/>
    <xf numFmtId="0" fontId="0" fillId="10" borderId="29" xfId="0" applyFill="1" applyBorder="1" applyAlignment="1">
      <alignment horizontal="center"/>
    </xf>
    <xf numFmtId="0" fontId="0" fillId="11" borderId="29" xfId="0" applyFill="1" applyBorder="1" applyAlignment="1" applyProtection="1">
      <alignment horizontal="center"/>
      <protection locked="0"/>
    </xf>
    <xf numFmtId="1" fontId="0" fillId="12" borderId="29" xfId="0" applyNumberFormat="1" applyFill="1" applyBorder="1"/>
    <xf numFmtId="1" fontId="2" fillId="13" borderId="30" xfId="0" applyNumberFormat="1" applyFont="1" applyFill="1" applyBorder="1"/>
    <xf numFmtId="0" fontId="0" fillId="6" borderId="18" xfId="0" applyFill="1" applyBorder="1"/>
    <xf numFmtId="0" fontId="6" fillId="10" borderId="29" xfId="0" applyFont="1" applyFill="1" applyBorder="1"/>
    <xf numFmtId="0" fontId="6" fillId="10" borderId="29" xfId="0" applyFont="1" applyFill="1" applyBorder="1" applyAlignment="1">
      <alignment horizontal="center"/>
    </xf>
    <xf numFmtId="1" fontId="2" fillId="12" borderId="31" xfId="0" applyNumberFormat="1" applyFont="1" applyFill="1" applyBorder="1"/>
    <xf numFmtId="0" fontId="0" fillId="6" borderId="10" xfId="0" applyFill="1" applyBorder="1"/>
    <xf numFmtId="0" fontId="0" fillId="6" borderId="20" xfId="0" applyFill="1" applyBorder="1"/>
    <xf numFmtId="0" fontId="2" fillId="9" borderId="27" xfId="0" applyFont="1" applyFill="1" applyBorder="1" applyAlignment="1">
      <alignment vertical="center" wrapText="1"/>
    </xf>
    <xf numFmtId="0" fontId="2" fillId="9" borderId="27" xfId="0" applyFont="1" applyFill="1" applyBorder="1" applyAlignment="1">
      <alignment horizontal="center" vertical="center" wrapText="1"/>
    </xf>
    <xf numFmtId="0" fontId="0" fillId="0" borderId="0" xfId="0" applyAlignment="1">
      <alignment horizontal="center"/>
    </xf>
    <xf numFmtId="0" fontId="17" fillId="6" borderId="0" xfId="0" applyFont="1" applyFill="1" applyBorder="1" applyAlignment="1">
      <alignment horizontal="left" wrapText="1"/>
    </xf>
    <xf numFmtId="0" fontId="0" fillId="11" borderId="29" xfId="0" applyFill="1" applyBorder="1" applyAlignment="1">
      <alignment horizontal="center"/>
    </xf>
    <xf numFmtId="0" fontId="6" fillId="11" borderId="29" xfId="0" applyFont="1" applyFill="1" applyBorder="1" applyAlignment="1">
      <alignment horizontal="center"/>
    </xf>
    <xf numFmtId="0" fontId="17" fillId="6" borderId="18" xfId="0" applyFont="1" applyFill="1" applyBorder="1" applyAlignment="1">
      <alignment horizontal="left" wrapText="1"/>
    </xf>
    <xf numFmtId="0" fontId="0" fillId="6" borderId="0" xfId="0" applyFill="1" applyBorder="1" applyAlignment="1">
      <alignment horizontal="center"/>
    </xf>
    <xf numFmtId="49" fontId="0" fillId="10" borderId="29" xfId="0" applyNumberFormat="1" applyFill="1" applyBorder="1" applyAlignment="1">
      <alignment horizontal="center"/>
    </xf>
    <xf numFmtId="49" fontId="6" fillId="10" borderId="29" xfId="0" applyNumberFormat="1" applyFont="1" applyFill="1" applyBorder="1" applyAlignment="1">
      <alignment horizontal="center"/>
    </xf>
    <xf numFmtId="0" fontId="2" fillId="7" borderId="32" xfId="0" applyFont="1" applyFill="1" applyBorder="1" applyAlignment="1">
      <alignment vertical="center"/>
    </xf>
    <xf numFmtId="1" fontId="2" fillId="13" borderId="28" xfId="0" applyNumberFormat="1" applyFont="1" applyFill="1" applyBorder="1"/>
    <xf numFmtId="0" fontId="0" fillId="9" borderId="0" xfId="0" quotePrefix="1" applyFill="1" applyBorder="1" applyAlignment="1">
      <alignment horizontal="center" wrapText="1"/>
    </xf>
    <xf numFmtId="0" fontId="0" fillId="9" borderId="0" xfId="0" applyFill="1" applyBorder="1" applyAlignment="1">
      <alignment horizontal="center" wrapText="1"/>
    </xf>
    <xf numFmtId="0" fontId="2" fillId="9" borderId="22" xfId="0" applyFont="1" applyFill="1" applyBorder="1" applyAlignment="1">
      <alignment wrapText="1"/>
    </xf>
    <xf numFmtId="0" fontId="0" fillId="9" borderId="21" xfId="0" applyFill="1" applyBorder="1" applyAlignment="1">
      <alignment horizontal="center" wrapText="1"/>
    </xf>
    <xf numFmtId="0" fontId="0" fillId="6" borderId="22" xfId="0" applyFill="1" applyBorder="1"/>
    <xf numFmtId="0" fontId="0" fillId="6" borderId="21" xfId="0" applyFill="1" applyBorder="1"/>
    <xf numFmtId="0" fontId="2" fillId="8" borderId="32" xfId="0" applyFont="1" applyFill="1" applyBorder="1" applyAlignment="1">
      <alignment vertical="center"/>
    </xf>
    <xf numFmtId="49" fontId="0" fillId="8" borderId="29" xfId="0" applyNumberFormat="1" applyFill="1" applyBorder="1" applyAlignment="1">
      <alignment horizontal="center"/>
    </xf>
    <xf numFmtId="49" fontId="0" fillId="8" borderId="30" xfId="0" applyNumberFormat="1" applyFill="1" applyBorder="1" applyAlignment="1">
      <alignment horizontal="center"/>
    </xf>
    <xf numFmtId="0" fontId="15" fillId="5" borderId="32" xfId="0" applyFont="1" applyFill="1" applyBorder="1"/>
    <xf numFmtId="0" fontId="0" fillId="5" borderId="29" xfId="0" applyFill="1" applyBorder="1" applyAlignment="1">
      <alignment horizontal="center"/>
    </xf>
    <xf numFmtId="0" fontId="0" fillId="5" borderId="30" xfId="0" applyFill="1" applyBorder="1" applyAlignment="1">
      <alignment horizontal="center"/>
    </xf>
    <xf numFmtId="0" fontId="0" fillId="6" borderId="19" xfId="0" applyFill="1" applyBorder="1" applyAlignment="1">
      <alignment horizontal="left" vertical="center"/>
    </xf>
    <xf numFmtId="0" fontId="2" fillId="9" borderId="0" xfId="0" applyFont="1" applyFill="1" applyBorder="1" applyAlignment="1">
      <alignment horizontal="center" vertical="center" wrapText="1"/>
    </xf>
    <xf numFmtId="0" fontId="2" fillId="9" borderId="26" xfId="0" applyFont="1" applyFill="1" applyBorder="1" applyAlignment="1">
      <alignment vertical="center" wrapText="1"/>
    </xf>
    <xf numFmtId="0" fontId="2" fillId="9" borderId="30" xfId="0" applyFont="1" applyFill="1" applyBorder="1" applyAlignment="1">
      <alignment horizontal="center" vertical="center" wrapText="1"/>
    </xf>
    <xf numFmtId="0" fontId="0" fillId="6" borderId="19" xfId="0" applyFill="1" applyBorder="1" applyAlignment="1">
      <alignment vertical="center"/>
    </xf>
    <xf numFmtId="0" fontId="16" fillId="6" borderId="0" xfId="0" applyFont="1" applyFill="1"/>
    <xf numFmtId="0" fontId="2" fillId="6" borderId="0" xfId="0" applyFont="1" applyFill="1"/>
    <xf numFmtId="0" fontId="17" fillId="6" borderId="0" xfId="0" applyFont="1" applyFill="1" applyAlignment="1">
      <alignment horizontal="left" wrapText="1"/>
    </xf>
    <xf numFmtId="0" fontId="8" fillId="6" borderId="27" xfId="0" applyFont="1" applyFill="1" applyBorder="1" applyAlignment="1">
      <alignment horizontal="left"/>
    </xf>
    <xf numFmtId="0" fontId="17" fillId="6" borderId="27" xfId="0" applyFont="1" applyFill="1" applyBorder="1" applyAlignment="1">
      <alignment horizontal="left" wrapText="1"/>
    </xf>
    <xf numFmtId="0" fontId="2" fillId="9" borderId="29" xfId="0" applyFont="1" applyFill="1" applyBorder="1" applyAlignment="1">
      <alignment vertical="center" wrapText="1"/>
    </xf>
    <xf numFmtId="0" fontId="0" fillId="9" borderId="29" xfId="0" applyFill="1" applyBorder="1" applyAlignment="1">
      <alignment vertical="center" wrapText="1"/>
    </xf>
    <xf numFmtId="0" fontId="2" fillId="9" borderId="29" xfId="0" applyFont="1" applyFill="1" applyBorder="1" applyAlignment="1">
      <alignment wrapText="1"/>
    </xf>
    <xf numFmtId="0" fontId="0" fillId="10" borderId="0" xfId="0" applyFill="1"/>
    <xf numFmtId="0" fontId="0" fillId="10" borderId="0" xfId="0" applyFill="1" applyAlignment="1">
      <alignment horizontal="center"/>
    </xf>
    <xf numFmtId="0" fontId="0" fillId="11" borderId="0" xfId="0" applyFill="1" applyAlignment="1" applyProtection="1">
      <alignment horizontal="center"/>
      <protection locked="0"/>
    </xf>
    <xf numFmtId="0" fontId="0" fillId="9" borderId="0" xfId="0" applyFill="1"/>
    <xf numFmtId="0" fontId="0" fillId="6" borderId="0" xfId="0" applyFill="1" applyAlignment="1">
      <alignment horizontal="right"/>
    </xf>
    <xf numFmtId="0" fontId="6" fillId="10" borderId="0" xfId="0" applyFont="1" applyFill="1"/>
    <xf numFmtId="0" fontId="6" fillId="10" borderId="0" xfId="0" applyFont="1" applyFill="1" applyAlignment="1">
      <alignment horizontal="center"/>
    </xf>
    <xf numFmtId="0" fontId="0" fillId="6" borderId="0" xfId="0" applyFill="1" applyAlignment="1">
      <alignment horizontal="justify" vertical="center"/>
    </xf>
    <xf numFmtId="0" fontId="6" fillId="10" borderId="27" xfId="0" applyFont="1" applyFill="1" applyBorder="1"/>
    <xf numFmtId="0" fontId="6" fillId="10" borderId="24" xfId="0" applyFont="1" applyFill="1" applyBorder="1" applyAlignment="1">
      <alignment horizontal="center"/>
    </xf>
    <xf numFmtId="0" fontId="0" fillId="11" borderId="24" xfId="0" applyFill="1" applyBorder="1" applyAlignment="1" applyProtection="1">
      <alignment horizontal="center"/>
      <protection locked="0"/>
    </xf>
    <xf numFmtId="0" fontId="0" fillId="10" borderId="27" xfId="0" applyFill="1" applyBorder="1" applyAlignment="1">
      <alignment horizontal="center"/>
    </xf>
    <xf numFmtId="0" fontId="0" fillId="11" borderId="27" xfId="0" applyFill="1" applyBorder="1" applyAlignment="1" applyProtection="1">
      <alignment horizontal="center"/>
      <protection locked="0"/>
    </xf>
    <xf numFmtId="0" fontId="0" fillId="10" borderId="24" xfId="0" applyFill="1" applyBorder="1" applyAlignment="1">
      <alignment horizontal="center"/>
    </xf>
    <xf numFmtId="0" fontId="0" fillId="10" borderId="24" xfId="0" applyFill="1" applyBorder="1"/>
    <xf numFmtId="0" fontId="0" fillId="10" borderId="27" xfId="0" applyFill="1" applyBorder="1"/>
    <xf numFmtId="0" fontId="6" fillId="10" borderId="24" xfId="0" applyFont="1" applyFill="1" applyBorder="1"/>
    <xf numFmtId="0" fontId="2" fillId="7" borderId="24" xfId="0" applyFont="1" applyFill="1" applyBorder="1"/>
    <xf numFmtId="0" fontId="2" fillId="7" borderId="0" xfId="0" applyFont="1" applyFill="1"/>
    <xf numFmtId="0" fontId="19" fillId="6" borderId="24" xfId="0" applyFont="1" applyFill="1" applyBorder="1"/>
    <xf numFmtId="0" fontId="19" fillId="6" borderId="0" xfId="0" applyFont="1" applyFill="1"/>
    <xf numFmtId="0" fontId="2" fillId="6" borderId="0" xfId="0" applyFont="1" applyFill="1" applyAlignment="1">
      <alignment horizontal="right"/>
    </xf>
    <xf numFmtId="0" fontId="2" fillId="0" borderId="33" xfId="0" applyFont="1" applyBorder="1"/>
    <xf numFmtId="0" fontId="15" fillId="6" borderId="0" xfId="0" applyFont="1" applyFill="1"/>
    <xf numFmtId="0" fontId="22" fillId="6" borderId="0" xfId="2" applyFill="1"/>
    <xf numFmtId="0" fontId="2" fillId="0" borderId="2" xfId="0" applyFont="1" applyBorder="1" applyAlignment="1">
      <alignment wrapText="1"/>
    </xf>
    <xf numFmtId="0" fontId="2" fillId="0" borderId="34" xfId="0" applyFont="1" applyBorder="1" applyAlignment="1">
      <alignment wrapText="1"/>
    </xf>
    <xf numFmtId="0" fontId="2" fillId="16"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18" borderId="7" xfId="0" applyFont="1" applyFill="1" applyBorder="1" applyAlignment="1">
      <alignment vertical="center" wrapText="1"/>
    </xf>
    <xf numFmtId="0" fontId="0" fillId="18" borderId="0" xfId="0" applyFill="1" applyAlignment="1">
      <alignment horizontal="left" vertical="center"/>
    </xf>
    <xf numFmtId="11" fontId="2" fillId="16" borderId="36" xfId="0" applyNumberFormat="1" applyFont="1" applyFill="1" applyBorder="1" applyAlignment="1">
      <alignment horizontal="center" vertical="center"/>
    </xf>
    <xf numFmtId="11" fontId="2" fillId="17" borderId="36" xfId="0" applyNumberFormat="1" applyFont="1" applyFill="1" applyBorder="1" applyAlignment="1">
      <alignment horizontal="center" vertical="center"/>
    </xf>
    <xf numFmtId="2" fontId="23" fillId="14" borderId="3" xfId="1" applyNumberFormat="1" applyFont="1" applyBorder="1" applyAlignment="1" applyProtection="1">
      <alignment horizontal="center" vertical="center"/>
      <protection locked="0"/>
    </xf>
    <xf numFmtId="164" fontId="0" fillId="18" borderId="0" xfId="0" applyNumberFormat="1" applyFill="1" applyAlignment="1" applyProtection="1">
      <alignment horizontal="center" vertical="center"/>
      <protection hidden="1"/>
    </xf>
    <xf numFmtId="164" fontId="0" fillId="18" borderId="22" xfId="0" applyNumberFormat="1" applyFill="1" applyBorder="1" applyAlignment="1" applyProtection="1">
      <alignment horizontal="center" vertical="center"/>
      <protection hidden="1"/>
    </xf>
    <xf numFmtId="164" fontId="0" fillId="19" borderId="22" xfId="0" applyNumberFormat="1" applyFill="1" applyBorder="1" applyAlignment="1" applyProtection="1">
      <alignment horizontal="center" vertical="center"/>
      <protection hidden="1"/>
    </xf>
    <xf numFmtId="164" fontId="0" fillId="18" borderId="37" xfId="0" applyNumberFormat="1" applyFill="1" applyBorder="1" applyAlignment="1" applyProtection="1">
      <alignment horizontal="center" vertical="center"/>
      <protection hidden="1"/>
    </xf>
    <xf numFmtId="0" fontId="2" fillId="0" borderId="7" xfId="0" applyFont="1" applyBorder="1" applyAlignment="1">
      <alignment vertical="center" wrapText="1"/>
    </xf>
    <xf numFmtId="0" fontId="0" fillId="0" borderId="0" xfId="0" applyAlignment="1">
      <alignment horizontal="left" vertical="center" wrapText="1"/>
    </xf>
    <xf numFmtId="0" fontId="2" fillId="16" borderId="38" xfId="0" applyFont="1" applyFill="1" applyBorder="1" applyAlignment="1">
      <alignment horizontal="center" vertical="center" wrapText="1"/>
    </xf>
    <xf numFmtId="0" fontId="2" fillId="17" borderId="38" xfId="0" applyFont="1" applyFill="1" applyBorder="1" applyAlignment="1">
      <alignment horizontal="center" vertical="center" wrapText="1"/>
    </xf>
    <xf numFmtId="164" fontId="0" fillId="0" borderId="0" xfId="0" applyNumberFormat="1" applyAlignment="1" applyProtection="1">
      <alignment horizontal="center" vertical="center"/>
      <protection hidden="1"/>
    </xf>
    <xf numFmtId="2" fontId="23" fillId="14" borderId="1" xfId="1" applyNumberFormat="1" applyFont="1" applyBorder="1" applyAlignment="1" applyProtection="1">
      <alignment horizontal="center" vertical="center"/>
      <protection locked="0"/>
    </xf>
    <xf numFmtId="2" fontId="0" fillId="0" borderId="22" xfId="0" applyNumberFormat="1" applyBorder="1" applyAlignment="1" applyProtection="1">
      <alignment horizontal="center" vertical="center"/>
      <protection hidden="1"/>
    </xf>
    <xf numFmtId="2" fontId="0" fillId="19" borderId="22" xfId="0" applyNumberFormat="1" applyFill="1"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18" borderId="0" xfId="0" applyFill="1" applyAlignment="1">
      <alignment horizontal="left" vertical="center" wrapText="1"/>
    </xf>
    <xf numFmtId="2" fontId="11" fillId="18" borderId="22" xfId="1" applyNumberFormat="1" applyFont="1" applyFill="1" applyBorder="1" applyAlignment="1" applyProtection="1">
      <alignment horizontal="center" vertical="center"/>
      <protection locked="0"/>
    </xf>
    <xf numFmtId="2" fontId="0" fillId="18" borderId="0" xfId="0" applyNumberFormat="1" applyFill="1" applyAlignment="1" applyProtection="1">
      <alignment horizontal="center" vertical="center"/>
      <protection hidden="1"/>
    </xf>
    <xf numFmtId="2" fontId="0" fillId="18" borderId="22" xfId="0" applyNumberFormat="1" applyFill="1" applyBorder="1" applyAlignment="1" applyProtection="1">
      <alignment horizontal="center" vertical="center"/>
      <protection hidden="1"/>
    </xf>
    <xf numFmtId="0" fontId="0" fillId="18" borderId="37" xfId="0" applyFill="1" applyBorder="1" applyAlignment="1" applyProtection="1">
      <alignment horizontal="center" vertical="center"/>
      <protection hidden="1"/>
    </xf>
    <xf numFmtId="0" fontId="2" fillId="16" borderId="38" xfId="0" quotePrefix="1" applyFont="1" applyFill="1" applyBorder="1" applyAlignment="1">
      <alignment horizontal="center" vertical="center"/>
    </xf>
    <xf numFmtId="0" fontId="2" fillId="17" borderId="38" xfId="0" quotePrefix="1" applyFont="1" applyFill="1" applyBorder="1" applyAlignment="1">
      <alignment horizontal="center" vertical="center"/>
    </xf>
    <xf numFmtId="164" fontId="0" fillId="0" borderId="22" xfId="0" applyNumberFormat="1" applyBorder="1" applyAlignment="1" applyProtection="1">
      <alignment horizontal="center" vertical="center"/>
      <protection hidden="1"/>
    </xf>
    <xf numFmtId="164" fontId="23" fillId="14" borderId="1" xfId="1" applyNumberFormat="1" applyFont="1" applyBorder="1" applyAlignment="1" applyProtection="1">
      <alignment horizontal="center" vertical="center"/>
      <protection locked="0"/>
    </xf>
    <xf numFmtId="0" fontId="2" fillId="16" borderId="38" xfId="0" applyFont="1" applyFill="1" applyBorder="1" applyAlignment="1">
      <alignment horizontal="center" vertical="center"/>
    </xf>
    <xf numFmtId="0" fontId="2" fillId="17" borderId="38" xfId="0" applyFont="1" applyFill="1" applyBorder="1" applyAlignment="1">
      <alignment horizontal="center" vertical="center"/>
    </xf>
    <xf numFmtId="164" fontId="0" fillId="19" borderId="0" xfId="0" applyNumberFormat="1" applyFill="1" applyAlignment="1" applyProtection="1">
      <alignment horizontal="center" vertical="center"/>
      <protection hidden="1"/>
    </xf>
    <xf numFmtId="164" fontId="23" fillId="20" borderId="1" xfId="1" applyNumberFormat="1" applyFont="1" applyFill="1" applyBorder="1" applyAlignment="1" applyProtection="1">
      <alignment horizontal="center" vertical="center"/>
      <protection locked="0"/>
    </xf>
    <xf numFmtId="11" fontId="2" fillId="16" borderId="38" xfId="0" applyNumberFormat="1" applyFont="1" applyFill="1" applyBorder="1" applyAlignment="1">
      <alignment horizontal="center" vertical="center"/>
    </xf>
    <xf numFmtId="11" fontId="2" fillId="17" borderId="38" xfId="0" applyNumberFormat="1" applyFont="1" applyFill="1" applyBorder="1" applyAlignment="1">
      <alignment horizontal="center" vertical="center"/>
    </xf>
    <xf numFmtId="168" fontId="2" fillId="16" borderId="38" xfId="0" applyNumberFormat="1" applyFont="1" applyFill="1" applyBorder="1" applyAlignment="1">
      <alignment horizontal="center" vertical="center"/>
    </xf>
    <xf numFmtId="168" fontId="2" fillId="17" borderId="38" xfId="0" applyNumberFormat="1" applyFont="1" applyFill="1" applyBorder="1" applyAlignment="1">
      <alignment horizontal="center" vertical="center"/>
    </xf>
    <xf numFmtId="168" fontId="0" fillId="0" borderId="0" xfId="0" applyNumberFormat="1" applyAlignment="1" applyProtection="1">
      <alignment horizontal="center" vertical="center"/>
      <protection hidden="1"/>
    </xf>
    <xf numFmtId="168" fontId="0" fillId="0" borderId="22" xfId="0" applyNumberFormat="1" applyBorder="1" applyAlignment="1" applyProtection="1">
      <alignment horizontal="center" vertical="center"/>
      <protection hidden="1"/>
    </xf>
    <xf numFmtId="168" fontId="0" fillId="19" borderId="22" xfId="0" applyNumberFormat="1" applyFill="1" applyBorder="1" applyAlignment="1" applyProtection="1">
      <alignment horizontal="center" vertical="center"/>
      <protection hidden="1"/>
    </xf>
    <xf numFmtId="168" fontId="23" fillId="14" borderId="1" xfId="1"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hidden="1"/>
    </xf>
    <xf numFmtId="0" fontId="2" fillId="18" borderId="10" xfId="0" applyFont="1" applyFill="1" applyBorder="1" applyAlignment="1">
      <alignment vertical="center" wrapText="1"/>
    </xf>
    <xf numFmtId="0" fontId="0" fillId="18" borderId="19" xfId="0" applyFill="1" applyBorder="1" applyAlignment="1">
      <alignment horizontal="left" vertical="center" wrapText="1"/>
    </xf>
    <xf numFmtId="2" fontId="2" fillId="16" borderId="39" xfId="0" applyNumberFormat="1" applyFont="1" applyFill="1" applyBorder="1" applyAlignment="1">
      <alignment horizontal="center" vertical="center"/>
    </xf>
    <xf numFmtId="2" fontId="2" fillId="17" borderId="39" xfId="0" applyNumberFormat="1" applyFont="1" applyFill="1" applyBorder="1" applyAlignment="1">
      <alignment horizontal="center" vertical="center"/>
    </xf>
    <xf numFmtId="164" fontId="0" fillId="18" borderId="19" xfId="0" applyNumberFormat="1" applyFill="1" applyBorder="1" applyAlignment="1" applyProtection="1">
      <alignment horizontal="center" vertical="center"/>
      <protection hidden="1"/>
    </xf>
    <xf numFmtId="2" fontId="0" fillId="18" borderId="40" xfId="0" applyNumberFormat="1" applyFill="1" applyBorder="1" applyAlignment="1" applyProtection="1">
      <alignment horizontal="center" vertical="center"/>
      <protection hidden="1"/>
    </xf>
    <xf numFmtId="2" fontId="0" fillId="19" borderId="40" xfId="0" applyNumberFormat="1" applyFill="1" applyBorder="1" applyAlignment="1" applyProtection="1">
      <alignment horizontal="center" vertical="center"/>
      <protection hidden="1"/>
    </xf>
    <xf numFmtId="0" fontId="23" fillId="14" borderId="1" xfId="1" applyFont="1" applyBorder="1" applyAlignment="1" applyProtection="1">
      <alignment horizontal="center" vertical="center"/>
      <protection locked="0"/>
    </xf>
    <xf numFmtId="0" fontId="0" fillId="6" borderId="26" xfId="0" applyFill="1" applyBorder="1" applyAlignment="1">
      <alignment horizontal="left" vertical="center" wrapText="1"/>
    </xf>
    <xf numFmtId="0" fontId="0" fillId="6" borderId="27" xfId="0" applyFill="1" applyBorder="1" applyAlignment="1">
      <alignment horizontal="left" vertical="center" wrapText="1"/>
    </xf>
    <xf numFmtId="0" fontId="0" fillId="6" borderId="28" xfId="0" applyFill="1" applyBorder="1" applyAlignment="1">
      <alignment horizontal="left" vertical="center" wrapText="1"/>
    </xf>
    <xf numFmtId="0" fontId="16" fillId="6" borderId="16" xfId="0" applyFont="1" applyFill="1" applyBorder="1" applyAlignment="1">
      <alignment horizontal="center"/>
    </xf>
    <xf numFmtId="0" fontId="0" fillId="6" borderId="22" xfId="0" applyFill="1" applyBorder="1" applyAlignment="1">
      <alignment horizontal="left" vertical="center" wrapText="1"/>
    </xf>
    <xf numFmtId="0" fontId="0" fillId="6" borderId="0" xfId="0" applyFill="1" applyBorder="1" applyAlignment="1">
      <alignment horizontal="left" vertical="center" wrapText="1"/>
    </xf>
    <xf numFmtId="0" fontId="0" fillId="6" borderId="21" xfId="0" applyFill="1" applyBorder="1" applyAlignment="1">
      <alignment horizontal="left" vertical="center" wrapText="1"/>
    </xf>
    <xf numFmtId="0" fontId="6" fillId="6" borderId="0" xfId="0" applyFont="1" applyFill="1" applyBorder="1" applyAlignment="1">
      <alignment horizontal="left" wrapText="1"/>
    </xf>
    <xf numFmtId="0" fontId="17" fillId="6" borderId="0" xfId="0" applyFont="1" applyFill="1" applyBorder="1" applyAlignment="1">
      <alignment horizontal="left" wrapText="1"/>
    </xf>
    <xf numFmtId="0" fontId="17" fillId="6" borderId="18" xfId="0" applyFont="1" applyFill="1" applyBorder="1" applyAlignment="1">
      <alignment horizontal="left" wrapText="1"/>
    </xf>
    <xf numFmtId="0" fontId="15" fillId="6" borderId="23" xfId="0" applyFont="1" applyFill="1" applyBorder="1" applyAlignment="1">
      <alignment horizontal="center" wrapText="1"/>
    </xf>
    <xf numFmtId="0" fontId="15" fillId="6" borderId="24" xfId="0" applyFont="1" applyFill="1" applyBorder="1" applyAlignment="1">
      <alignment horizontal="center" wrapText="1"/>
    </xf>
    <xf numFmtId="0" fontId="15" fillId="6" borderId="25" xfId="0" applyFont="1" applyFill="1" applyBorder="1" applyAlignment="1">
      <alignment horizontal="center" wrapText="1"/>
    </xf>
    <xf numFmtId="0" fontId="2" fillId="12" borderId="23" xfId="0" applyFont="1" applyFill="1" applyBorder="1" applyAlignment="1">
      <alignment horizontal="right"/>
    </xf>
    <xf numFmtId="0" fontId="2" fillId="12" borderId="24" xfId="0" applyFont="1" applyFill="1" applyBorder="1" applyAlignment="1">
      <alignment horizontal="right"/>
    </xf>
    <xf numFmtId="0" fontId="14" fillId="5" borderId="32" xfId="0" applyFont="1" applyFill="1" applyBorder="1" applyAlignment="1">
      <alignment horizontal="left" wrapText="1"/>
    </xf>
    <xf numFmtId="0" fontId="14" fillId="5" borderId="29" xfId="0" applyFont="1" applyFill="1" applyBorder="1" applyAlignment="1">
      <alignment horizontal="left" wrapText="1"/>
    </xf>
    <xf numFmtId="0" fontId="14" fillId="5" borderId="30" xfId="0" applyFont="1" applyFill="1" applyBorder="1" applyAlignment="1">
      <alignment horizontal="left" wrapText="1"/>
    </xf>
    <xf numFmtId="0" fontId="2" fillId="13" borderId="26" xfId="0" applyFont="1" applyFill="1" applyBorder="1" applyAlignment="1">
      <alignment horizontal="right"/>
    </xf>
    <xf numFmtId="0" fontId="2" fillId="13" borderId="27" xfId="0" applyFont="1" applyFill="1" applyBorder="1" applyAlignment="1">
      <alignment horizontal="right"/>
    </xf>
    <xf numFmtId="0" fontId="2" fillId="7" borderId="24" xfId="0" applyFont="1" applyFill="1" applyBorder="1" applyAlignment="1">
      <alignment horizontal="left" vertical="center"/>
    </xf>
    <xf numFmtId="0" fontId="2" fillId="7" borderId="0" xfId="0" applyFont="1" applyFill="1" applyAlignment="1">
      <alignment horizontal="left" vertical="center"/>
    </xf>
    <xf numFmtId="0" fontId="0" fillId="7" borderId="27" xfId="0" applyFill="1" applyBorder="1" applyAlignment="1">
      <alignment horizontal="left" vertical="center"/>
    </xf>
    <xf numFmtId="0" fontId="2" fillId="7" borderId="24" xfId="0" applyFont="1" applyFill="1" applyBorder="1" applyAlignment="1">
      <alignment vertical="center"/>
    </xf>
    <xf numFmtId="0" fontId="2" fillId="7" borderId="27" xfId="0" applyFont="1" applyFill="1" applyBorder="1" applyAlignment="1">
      <alignment vertical="center"/>
    </xf>
    <xf numFmtId="0" fontId="2" fillId="7" borderId="0" xfId="0" applyFont="1" applyFill="1" applyAlignment="1">
      <alignment vertical="center"/>
    </xf>
    <xf numFmtId="0" fontId="0" fillId="15" borderId="8" xfId="0" applyFill="1" applyBorder="1" applyAlignment="1">
      <alignment horizontal="left" vertical="center" wrapText="1"/>
    </xf>
    <xf numFmtId="0" fontId="0" fillId="15" borderId="16" xfId="0" applyFill="1" applyBorder="1" applyAlignment="1">
      <alignment horizontal="left" vertical="center" wrapText="1"/>
    </xf>
    <xf numFmtId="0" fontId="0" fillId="15" borderId="17" xfId="0" applyFill="1" applyBorder="1" applyAlignment="1">
      <alignment horizontal="left" vertical="center" wrapText="1"/>
    </xf>
    <xf numFmtId="0" fontId="0" fillId="15" borderId="7" xfId="0" applyFill="1" applyBorder="1" applyAlignment="1">
      <alignment horizontal="left" vertical="center" wrapText="1"/>
    </xf>
    <xf numFmtId="0" fontId="0" fillId="15" borderId="0" xfId="0" applyFill="1" applyAlignment="1">
      <alignment horizontal="left" vertical="center" wrapText="1"/>
    </xf>
    <xf numFmtId="0" fontId="0" fillId="15" borderId="18" xfId="0" applyFill="1" applyBorder="1" applyAlignment="1">
      <alignment horizontal="left" vertical="center" wrapText="1"/>
    </xf>
    <xf numFmtId="0" fontId="0" fillId="15" borderId="10" xfId="0" applyFill="1" applyBorder="1" applyAlignment="1">
      <alignment horizontal="left" vertical="center" wrapText="1"/>
    </xf>
    <xf numFmtId="0" fontId="0" fillId="15" borderId="19" xfId="0" applyFill="1" applyBorder="1" applyAlignment="1">
      <alignment horizontal="left" vertical="center" wrapText="1"/>
    </xf>
    <xf numFmtId="0" fontId="0" fillId="15" borderId="20" xfId="0" applyFill="1" applyBorder="1" applyAlignment="1">
      <alignment horizontal="left" vertical="center" wrapText="1"/>
    </xf>
    <xf numFmtId="0" fontId="0" fillId="7" borderId="27" xfId="0" applyFill="1" applyBorder="1" applyAlignment="1">
      <alignment vertical="center"/>
    </xf>
    <xf numFmtId="0" fontId="0" fillId="7" borderId="0" xfId="0" applyFill="1" applyAlignment="1">
      <alignment horizontal="left" vertical="center"/>
    </xf>
    <xf numFmtId="0" fontId="2" fillId="7" borderId="27" xfId="0" applyFont="1" applyFill="1" applyBorder="1" applyAlignment="1">
      <alignment horizontal="left" vertical="center"/>
    </xf>
    <xf numFmtId="0" fontId="17" fillId="6" borderId="0" xfId="0" applyFont="1" applyFill="1" applyAlignment="1">
      <alignment horizontal="left" vertical="center" wrapText="1"/>
    </xf>
    <xf numFmtId="0" fontId="15" fillId="6" borderId="0" xfId="0" applyFont="1" applyFill="1" applyAlignment="1">
      <alignment wrapText="1"/>
    </xf>
    <xf numFmtId="0" fontId="0" fillId="7" borderId="0" xfId="0" applyFill="1" applyAlignment="1">
      <alignment vertical="center"/>
    </xf>
    <xf numFmtId="1" fontId="10" fillId="6" borderId="0" xfId="0" quotePrefix="1" applyNumberFormat="1" applyFont="1" applyFill="1" applyBorder="1" applyAlignment="1" applyProtection="1">
      <alignment horizontal="left" wrapText="1"/>
      <protection hidden="1"/>
    </xf>
    <xf numFmtId="0" fontId="10" fillId="6" borderId="19" xfId="0" applyFont="1" applyFill="1" applyBorder="1" applyAlignment="1" applyProtection="1">
      <alignment horizontal="left" wrapText="1"/>
      <protection hidden="1"/>
    </xf>
  </cellXfs>
  <cellStyles count="3">
    <cellStyle name="God" xfId="1" builtinId="26"/>
    <cellStyle name="Hyperkobling"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'Gradvis nedtrapping'!$B$33</c:f>
              <c:strCache>
                <c:ptCount val="1"/>
                <c:pt idx="0">
                  <c:v>Antall tabletter per dag når det er valgt 7 dager lange trinn</c:v>
                </c:pt>
              </c:strCache>
            </c:strRef>
          </c:tx>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'Gradvis nedtrapping'!$C$31:$S$31</c:f>
              <c:strCache>
                <c:ptCount val="17"/>
                <c:pt idx="0">
                  <c:v>Utgangsdose</c:v>
                </c:pt>
                <c:pt idx="1">
                  <c:v>15.2.19</c:v>
                </c:pt>
                <c:pt idx="2">
                  <c:v>22.2.19</c:v>
                </c:pt>
                <c:pt idx="3">
                  <c:v>1.3.19</c:v>
                </c:pt>
                <c:pt idx="4">
                  <c:v>8.3.19</c:v>
                </c:pt>
                <c:pt idx="5">
                  <c:v>15.3.19</c:v>
                </c:pt>
                <c:pt idx="6">
                  <c:v>22.3.19</c:v>
                </c:pt>
                <c:pt idx="7">
                  <c:v>29.3.19</c:v>
                </c:pt>
                <c:pt idx="8">
                  <c:v>5.4.19</c:v>
                </c:pt>
                <c:pt idx="9">
                  <c:v>12.4.19</c:v>
                </c:pt>
                <c:pt idx="10">
                  <c:v>19.4.19</c:v>
                </c:pt>
                <c:pt idx="11">
                  <c:v>26.4.19</c:v>
                </c:pt>
                <c:pt idx="12">
                  <c:v>3.5.19</c:v>
                </c:pt>
                <c:pt idx="13">
                  <c:v>10.5.19</c:v>
                </c:pt>
                <c:pt idx="14">
                  <c:v>17.5.19</c:v>
                </c:pt>
                <c:pt idx="15">
                  <c:v>24.5.19</c:v>
                </c:pt>
                <c:pt idx="16">
                  <c:v>31.5.19</c:v>
                </c:pt>
              </c:strCache>
            </c:strRef>
          </c:cat>
          <c:val>
            <c:numRef>
              <c:f>'Gradvis nedtrapping'!$C$33:$S$33</c:f>
              <c:numCache>
                <c:formatCode>#" "?/2</c:formatCode>
                <c:ptCount val="17"/>
                <c:pt idx="0">
                  <c:v>12.5</c:v>
                </c:pt>
                <c:pt idx="1">
                  <c:v>10</c:v>
                </c:pt>
                <c:pt idx="2">
                  <c:v>8</c:v>
                </c:pt>
                <c:pt idx="3">
                  <c:v>6.4</c:v>
                </c:pt>
                <c:pt idx="4">
                  <c:v>5.0999999999999996</c:v>
                </c:pt>
                <c:pt idx="5">
                  <c:v>4.0999999999999996</c:v>
                </c:pt>
                <c:pt idx="6">
                  <c:v>3.3</c:v>
                </c:pt>
                <c:pt idx="7">
                  <c:v>2.6</c:v>
                </c:pt>
                <c:pt idx="8">
                  <c:v>2.1</c:v>
                </c:pt>
                <c:pt idx="9">
                  <c:v>1.7</c:v>
                </c:pt>
                <c:pt idx="10">
                  <c:v>1.3</c:v>
                </c:pt>
                <c:pt idx="11">
                  <c:v>1.1000000000000001</c:v>
                </c:pt>
                <c:pt idx="12">
                  <c:v>0.5</c:v>
                </c:pt>
                <c:pt idx="13">
                  <c:v>0</c:v>
                </c:pt>
                <c:pt idx="14">
                  <c:v>0</c:v>
                </c:pt>
                <c:pt idx="15">
                  <c:v>0</c:v>
                </c:pt>
                <c:pt idx="16">
                  <c:v>0</c:v>
                </c:pt>
              </c:numCache>
            </c:numRef>
          </c:val>
          <c:extLst>
            <c:ext xmlns:c16="http://schemas.microsoft.com/office/drawing/2014/chart" uri="{C3380CC4-5D6E-409C-BE32-E72D297353CC}">
              <c16:uniqueId val="{00000000-BC1E-404A-9434-D98B7B727ADE}"/>
            </c:ext>
          </c:extLst>
        </c:ser>
        <c:dLbls>
          <c:showLegendKey val="0"/>
          <c:showVal val="0"/>
          <c:showCatName val="0"/>
          <c:showSerName val="0"/>
          <c:showPercent val="0"/>
          <c:showBubbleSize val="0"/>
        </c:dLbls>
        <c:gapWidth val="160"/>
        <c:gapDepth val="77"/>
        <c:shape val="box"/>
        <c:axId val="30777728"/>
        <c:axId val="30779264"/>
        <c:axId val="0"/>
      </c:bar3DChart>
      <c:catAx>
        <c:axId val="30777728"/>
        <c:scaling>
          <c:orientation val="minMax"/>
        </c:scaling>
        <c:delete val="0"/>
        <c:axPos val="b"/>
        <c:numFmt formatCode="General" sourceLinked="0"/>
        <c:majorTickMark val="out"/>
        <c:minorTickMark val="none"/>
        <c:tickLblPos val="nextTo"/>
        <c:crossAx val="30779264"/>
        <c:crosses val="autoZero"/>
        <c:auto val="1"/>
        <c:lblAlgn val="ctr"/>
        <c:lblOffset val="100"/>
        <c:noMultiLvlLbl val="0"/>
      </c:catAx>
      <c:valAx>
        <c:axId val="30779264"/>
        <c:scaling>
          <c:orientation val="minMax"/>
        </c:scaling>
        <c:delete val="0"/>
        <c:axPos val="l"/>
        <c:majorGridlines/>
        <c:numFmt formatCode="#&quot; &quot;?/2" sourceLinked="1"/>
        <c:majorTickMark val="out"/>
        <c:minorTickMark val="none"/>
        <c:tickLblPos val="nextTo"/>
        <c:crossAx val="30777728"/>
        <c:crosses val="autoZero"/>
        <c:crossBetween val="between"/>
      </c:valAx>
    </c:plotArea>
    <c:legend>
      <c:legendPos val="r"/>
      <c:layout>
        <c:manualLayout>
          <c:xMode val="edge"/>
          <c:yMode val="edge"/>
          <c:x val="0.68775281433220325"/>
          <c:y val="0.12490394429862933"/>
          <c:w val="0.30074301540607684"/>
          <c:h val="0.10667341061533975"/>
        </c:manualLayout>
      </c:layout>
      <c:overlay val="1"/>
    </c:legend>
    <c:plotVisOnly val="1"/>
    <c:dispBlanksAs val="gap"/>
    <c:showDLblsOverMax val="0"/>
  </c:chart>
  <c:spPr>
    <a:ln w="28575">
      <a:solidFill>
        <a:schemeClr val="accent2">
          <a:lumMod val="75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36</xdr:row>
      <xdr:rowOff>19048</xdr:rowOff>
    </xdr:from>
    <xdr:to>
      <xdr:col>17</xdr:col>
      <xdr:colOff>0</xdr:colOff>
      <xdr:row>69</xdr:row>
      <xdr:rowOff>158749</xdr:rowOff>
    </xdr:to>
    <xdr:graphicFrame macro="">
      <xdr:nvGraphicFramePr>
        <xdr:cNvPr id="6" name="Diagra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4</xdr:row>
      <xdr:rowOff>19050</xdr:rowOff>
    </xdr:from>
    <xdr:to>
      <xdr:col>6</xdr:col>
      <xdr:colOff>142875</xdr:colOff>
      <xdr:row>24</xdr:row>
      <xdr:rowOff>84667</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12775" y="939800"/>
          <a:ext cx="4684183" cy="40978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nb-NO" sz="1100"/>
        </a:p>
        <a:p>
          <a:pPr algn="ctr"/>
          <a:r>
            <a:rPr lang="nb-NO" sz="1100" b="1"/>
            <a:t>Bruksanvisning for legen</a:t>
          </a:r>
        </a:p>
        <a:p>
          <a:r>
            <a:rPr lang="nb-NO" sz="1100"/>
            <a:t>1. Dette regnearket gir dosene ved jevn og forsvarlig nedtrapping fra vanedannende legemidler. Tablettene</a:t>
          </a:r>
          <a:r>
            <a:rPr lang="nb-NO" sz="1100" baseline="0"/>
            <a:t> fordeles gjennom dagen til faste klokkeslett f.eks. hver 6. 8. eller 12. time, avhengig av halveringstid. Prøv å fordele dosene jevnest mulig gjennom dagen, ta gjerne pasienten med på råd.</a:t>
          </a:r>
        </a:p>
        <a:p>
          <a:endParaRPr lang="nb-NO" sz="1100" baseline="0"/>
        </a:p>
        <a:p>
          <a:r>
            <a:rPr lang="nb-NO" sz="1100" baseline="0"/>
            <a:t>2. Nedtrapping av opioider kan ta anslagsvis 2-4 uker poliklinisk, 2-4 dager i institusjon. Nedtrapping av benzodiazepiner kan ta anslagsvis 10-12 uker poliklinisk, 10-12 dager i institusjon. </a:t>
          </a:r>
        </a:p>
        <a:p>
          <a:endParaRPr lang="nb-NO" sz="1100"/>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ysClr val="windowText" lastClr="000000"/>
              </a:solidFill>
            </a:rPr>
            <a:t>3</a:t>
          </a:r>
          <a:r>
            <a:rPr lang="nb-NO" sz="1100" b="1">
              <a:solidFill>
                <a:schemeClr val="accent1"/>
              </a:solidFill>
            </a:rPr>
            <a:t>. </a:t>
          </a:r>
          <a:r>
            <a:rPr lang="nb-NO" sz="1100" b="1">
              <a:solidFill>
                <a:srgbClr val="0070C0"/>
              </a:solidFill>
            </a:rPr>
            <a:t>De blå feltene i</a:t>
          </a:r>
          <a:r>
            <a:rPr lang="nb-NO" sz="1100" b="1" baseline="0">
              <a:solidFill>
                <a:srgbClr val="0070C0"/>
              </a:solidFill>
            </a:rPr>
            <a:t> tabell 1 </a:t>
          </a:r>
          <a:r>
            <a:rPr lang="nb-NO" sz="1100" b="0" baseline="0">
              <a:solidFill>
                <a:schemeClr val="dk1"/>
              </a:solidFill>
            </a:rPr>
            <a:t>til høyre e</a:t>
          </a:r>
          <a:r>
            <a:rPr lang="nb-NO" sz="1100"/>
            <a:t>r åpne til å skrive inn verdier for </a:t>
          </a:r>
          <a:r>
            <a:rPr lang="nb-NO" sz="1100" b="1"/>
            <a:t>legemiddelnavn, utgangsdose, doseenhet,</a:t>
          </a:r>
          <a:r>
            <a:rPr lang="nb-NO" sz="1100" b="1" baseline="0"/>
            <a:t> </a:t>
          </a:r>
          <a:r>
            <a:rPr lang="nb-NO" sz="1100" b="1"/>
            <a:t>antall dager per nedtrappingstrinn</a:t>
          </a:r>
          <a:r>
            <a:rPr lang="nb-NO" sz="1100" b="1" baseline="0"/>
            <a:t> og oppstartsdato</a:t>
          </a:r>
          <a:r>
            <a:rPr lang="nb-NO" sz="1100"/>
            <a:t>. Feltet "</a:t>
          </a:r>
          <a:r>
            <a:rPr lang="nb-NO" sz="1100" b="1"/>
            <a:t>Prosent reduksjon per trinn</a:t>
          </a:r>
          <a:r>
            <a:rPr lang="nb-NO" sz="1100"/>
            <a:t>" velger hvor bratt nedtrappingene skal være. </a:t>
          </a:r>
          <a:r>
            <a:rPr lang="nb-NO" sz="1100">
              <a:solidFill>
                <a:schemeClr val="dk1"/>
              </a:solidFill>
              <a:effectLst/>
              <a:latin typeface="+mn-lt"/>
              <a:ea typeface="+mn-ea"/>
              <a:cs typeface="+mn-cs"/>
            </a:rPr>
            <a:t>Dosen reduseres fra trinn til trinn med en gitt prosent av forrige dose. </a:t>
          </a:r>
          <a:endParaRPr lang="nb-NO">
            <a:effectLst/>
          </a:endParaRPr>
        </a:p>
        <a:p>
          <a:endParaRPr lang="nb-NO" sz="1100"/>
        </a:p>
        <a:p>
          <a:r>
            <a:rPr lang="nb-NO" sz="1100"/>
            <a:t>Regnearket runder av antall mg til nærmeste halve tablett.  Verdier under 1/2 tablett blir satt til </a:t>
          </a:r>
          <a:r>
            <a:rPr lang="nb-NO" sz="1100" baseline="0"/>
            <a:t>0. Ved små mg-verdier (f.eks Sobril 10 mg) kan en runde av til nærmeste hele tablett. </a:t>
          </a:r>
        </a:p>
        <a:p>
          <a:endParaRPr lang="nb-NO" sz="1100" baseline="0"/>
        </a:p>
        <a:p>
          <a:r>
            <a:rPr lang="nb-NO" sz="1100" baseline="0"/>
            <a:t>NB! Nedtrappingsplanen er i denne versjonen satt til maksimalt 16 trinn, noe som vi antar vil dekke de fleste behov.</a:t>
          </a:r>
        </a:p>
        <a:p>
          <a:endParaRPr lang="nb-NO" sz="1100" baseline="0"/>
        </a:p>
      </xdr:txBody>
    </xdr:sp>
    <xdr:clientData/>
  </xdr:twoCellAnchor>
  <xdr:twoCellAnchor>
    <xdr:from>
      <xdr:col>9</xdr:col>
      <xdr:colOff>20109</xdr:colOff>
      <xdr:row>4</xdr:row>
      <xdr:rowOff>39158</xdr:rowOff>
    </xdr:from>
    <xdr:to>
      <xdr:col>16</xdr:col>
      <xdr:colOff>96308</xdr:colOff>
      <xdr:row>20</xdr:row>
      <xdr:rowOff>10583</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6920442" y="959908"/>
          <a:ext cx="4150783" cy="32310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nb-NO" sz="1100" baseline="0"/>
        </a:p>
        <a:p>
          <a:pPr algn="ctr"/>
          <a:r>
            <a:rPr lang="nb-NO" sz="1100" b="1" baseline="0"/>
            <a:t>Råd til pasienten</a:t>
          </a:r>
        </a:p>
        <a:p>
          <a:pPr algn="l"/>
          <a:r>
            <a:rPr lang="nb-NO" sz="1100" baseline="0"/>
            <a:t>1. Ta tablettene etter klokken, ikke etter behov! Det gir minst svingning i blodkonsentrasjon og dermed minst mulig abstinensplager. Dette innebærer at du også skal ta tablettene de dagene du ev. ikke har plager.</a:t>
          </a:r>
        </a:p>
        <a:p>
          <a:pPr algn="l"/>
          <a:endParaRPr lang="nb-NO" sz="1100" baseline="0"/>
        </a:p>
        <a:p>
          <a:pPr algn="l"/>
          <a:r>
            <a:rPr lang="nb-NO" sz="1100" baseline="0"/>
            <a:t>2. Om du får ubehag etter å ha trappet ned, vil vi anbefale at du prøver å unngå å trappe opp igjen. Forleng heller trinnet du har kommet ned på.</a:t>
          </a:r>
        </a:p>
        <a:p>
          <a:pPr algn="l"/>
          <a:endParaRPr lang="nb-NO" sz="1100" baseline="0"/>
        </a:p>
        <a:p>
          <a:pPr algn="l"/>
          <a:r>
            <a:rPr lang="nb-NO" sz="1100" baseline="0"/>
            <a:t>3. Målet med nedtrappingen er at du skal få mindre ubehag og at du evt. kan bli i stand til å benytte deg av annen behandling, - f.eks samtaleterapi. Det er ikke mulig å garantere dette, men den eneste måten å finne det ut på er å trappe gradvis ned, slutte helt med tablettene og være helt uten i minst 6 uker. I de fleste tilfelle har kroppen da klart å komme seg igjennom den verste avvenningen og begynner å reagerer normalt igjen.</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4"/>
  <sheetViews>
    <sheetView workbookViewId="0">
      <selection activeCell="N10" sqref="N10"/>
    </sheetView>
  </sheetViews>
  <sheetFormatPr baseColWidth="10" defaultRowHeight="15" x14ac:dyDescent="0.25"/>
  <cols>
    <col min="1" max="1" width="11.42578125" style="80"/>
    <col min="2" max="2" width="6" style="80" customWidth="1"/>
    <col min="3" max="3" width="19" customWidth="1"/>
    <col min="4" max="4" width="26.5703125" customWidth="1"/>
    <col min="5" max="5" width="12.7109375" style="104" customWidth="1"/>
    <col min="6" max="7" width="10.7109375" style="104" customWidth="1"/>
    <col min="8" max="8" width="11" style="104" customWidth="1"/>
    <col min="9" max="9" width="11.28515625" customWidth="1"/>
    <col min="10" max="10" width="10.140625" customWidth="1"/>
    <col min="11" max="35" width="11.42578125" style="80"/>
    <col min="247" max="247" width="29.42578125" customWidth="1"/>
    <col min="248" max="248" width="30.140625" customWidth="1"/>
    <col min="249" max="249" width="10" customWidth="1"/>
    <col min="250" max="251" width="10.140625" customWidth="1"/>
    <col min="253" max="253" width="12.5703125" customWidth="1"/>
    <col min="503" max="503" width="29.42578125" customWidth="1"/>
    <col min="504" max="504" width="30.140625" customWidth="1"/>
    <col min="505" max="505" width="10" customWidth="1"/>
    <col min="506" max="507" width="10.140625" customWidth="1"/>
    <col min="509" max="509" width="12.5703125" customWidth="1"/>
    <col min="759" max="759" width="29.42578125" customWidth="1"/>
    <col min="760" max="760" width="30.140625" customWidth="1"/>
    <col min="761" max="761" width="10" customWidth="1"/>
    <col min="762" max="763" width="10.140625" customWidth="1"/>
    <col min="765" max="765" width="12.5703125" customWidth="1"/>
    <col min="1015" max="1015" width="29.42578125" customWidth="1"/>
    <col min="1016" max="1016" width="30.140625" customWidth="1"/>
    <col min="1017" max="1017" width="10" customWidth="1"/>
    <col min="1018" max="1019" width="10.140625" customWidth="1"/>
    <col min="1021" max="1021" width="12.5703125" customWidth="1"/>
    <col min="1271" max="1271" width="29.42578125" customWidth="1"/>
    <col min="1272" max="1272" width="30.140625" customWidth="1"/>
    <col min="1273" max="1273" width="10" customWidth="1"/>
    <col min="1274" max="1275" width="10.140625" customWidth="1"/>
    <col min="1277" max="1277" width="12.5703125" customWidth="1"/>
    <col min="1527" max="1527" width="29.42578125" customWidth="1"/>
    <col min="1528" max="1528" width="30.140625" customWidth="1"/>
    <col min="1529" max="1529" width="10" customWidth="1"/>
    <col min="1530" max="1531" width="10.140625" customWidth="1"/>
    <col min="1533" max="1533" width="12.5703125" customWidth="1"/>
    <col min="1783" max="1783" width="29.42578125" customWidth="1"/>
    <col min="1784" max="1784" width="30.140625" customWidth="1"/>
    <col min="1785" max="1785" width="10" customWidth="1"/>
    <col min="1786" max="1787" width="10.140625" customWidth="1"/>
    <col min="1789" max="1789" width="12.5703125" customWidth="1"/>
    <col min="2039" max="2039" width="29.42578125" customWidth="1"/>
    <col min="2040" max="2040" width="30.140625" customWidth="1"/>
    <col min="2041" max="2041" width="10" customWidth="1"/>
    <col min="2042" max="2043" width="10.140625" customWidth="1"/>
    <col min="2045" max="2045" width="12.5703125" customWidth="1"/>
    <col min="2295" max="2295" width="29.42578125" customWidth="1"/>
    <col min="2296" max="2296" width="30.140625" customWidth="1"/>
    <col min="2297" max="2297" width="10" customWidth="1"/>
    <col min="2298" max="2299" width="10.140625" customWidth="1"/>
    <col min="2301" max="2301" width="12.5703125" customWidth="1"/>
    <col min="2551" max="2551" width="29.42578125" customWidth="1"/>
    <col min="2552" max="2552" width="30.140625" customWidth="1"/>
    <col min="2553" max="2553" width="10" customWidth="1"/>
    <col min="2554" max="2555" width="10.140625" customWidth="1"/>
    <col min="2557" max="2557" width="12.5703125" customWidth="1"/>
    <col min="2807" max="2807" width="29.42578125" customWidth="1"/>
    <col min="2808" max="2808" width="30.140625" customWidth="1"/>
    <col min="2809" max="2809" width="10" customWidth="1"/>
    <col min="2810" max="2811" width="10.140625" customWidth="1"/>
    <col min="2813" max="2813" width="12.5703125" customWidth="1"/>
    <col min="3063" max="3063" width="29.42578125" customWidth="1"/>
    <col min="3064" max="3064" width="30.140625" customWidth="1"/>
    <col min="3065" max="3065" width="10" customWidth="1"/>
    <col min="3066" max="3067" width="10.140625" customWidth="1"/>
    <col min="3069" max="3069" width="12.5703125" customWidth="1"/>
    <col min="3319" max="3319" width="29.42578125" customWidth="1"/>
    <col min="3320" max="3320" width="30.140625" customWidth="1"/>
    <col min="3321" max="3321" width="10" customWidth="1"/>
    <col min="3322" max="3323" width="10.140625" customWidth="1"/>
    <col min="3325" max="3325" width="12.5703125" customWidth="1"/>
    <col min="3575" max="3575" width="29.42578125" customWidth="1"/>
    <col min="3576" max="3576" width="30.140625" customWidth="1"/>
    <col min="3577" max="3577" width="10" customWidth="1"/>
    <col min="3578" max="3579" width="10.140625" customWidth="1"/>
    <col min="3581" max="3581" width="12.5703125" customWidth="1"/>
    <col min="3831" max="3831" width="29.42578125" customWidth="1"/>
    <col min="3832" max="3832" width="30.140625" customWidth="1"/>
    <col min="3833" max="3833" width="10" customWidth="1"/>
    <col min="3834" max="3835" width="10.140625" customWidth="1"/>
    <col min="3837" max="3837" width="12.5703125" customWidth="1"/>
    <col min="4087" max="4087" width="29.42578125" customWidth="1"/>
    <col min="4088" max="4088" width="30.140625" customWidth="1"/>
    <col min="4089" max="4089" width="10" customWidth="1"/>
    <col min="4090" max="4091" width="10.140625" customWidth="1"/>
    <col min="4093" max="4093" width="12.5703125" customWidth="1"/>
    <col min="4343" max="4343" width="29.42578125" customWidth="1"/>
    <col min="4344" max="4344" width="30.140625" customWidth="1"/>
    <col min="4345" max="4345" width="10" customWidth="1"/>
    <col min="4346" max="4347" width="10.140625" customWidth="1"/>
    <col min="4349" max="4349" width="12.5703125" customWidth="1"/>
    <col min="4599" max="4599" width="29.42578125" customWidth="1"/>
    <col min="4600" max="4600" width="30.140625" customWidth="1"/>
    <col min="4601" max="4601" width="10" customWidth="1"/>
    <col min="4602" max="4603" width="10.140625" customWidth="1"/>
    <col min="4605" max="4605" width="12.5703125" customWidth="1"/>
    <col min="4855" max="4855" width="29.42578125" customWidth="1"/>
    <col min="4856" max="4856" width="30.140625" customWidth="1"/>
    <col min="4857" max="4857" width="10" customWidth="1"/>
    <col min="4858" max="4859" width="10.140625" customWidth="1"/>
    <col min="4861" max="4861" width="12.5703125" customWidth="1"/>
    <col min="5111" max="5111" width="29.42578125" customWidth="1"/>
    <col min="5112" max="5112" width="30.140625" customWidth="1"/>
    <col min="5113" max="5113" width="10" customWidth="1"/>
    <col min="5114" max="5115" width="10.140625" customWidth="1"/>
    <col min="5117" max="5117" width="12.5703125" customWidth="1"/>
    <col min="5367" max="5367" width="29.42578125" customWidth="1"/>
    <col min="5368" max="5368" width="30.140625" customWidth="1"/>
    <col min="5369" max="5369" width="10" customWidth="1"/>
    <col min="5370" max="5371" width="10.140625" customWidth="1"/>
    <col min="5373" max="5373" width="12.5703125" customWidth="1"/>
    <col min="5623" max="5623" width="29.42578125" customWidth="1"/>
    <col min="5624" max="5624" width="30.140625" customWidth="1"/>
    <col min="5625" max="5625" width="10" customWidth="1"/>
    <col min="5626" max="5627" width="10.140625" customWidth="1"/>
    <col min="5629" max="5629" width="12.5703125" customWidth="1"/>
    <col min="5879" max="5879" width="29.42578125" customWidth="1"/>
    <col min="5880" max="5880" width="30.140625" customWidth="1"/>
    <col min="5881" max="5881" width="10" customWidth="1"/>
    <col min="5882" max="5883" width="10.140625" customWidth="1"/>
    <col min="5885" max="5885" width="12.5703125" customWidth="1"/>
    <col min="6135" max="6135" width="29.42578125" customWidth="1"/>
    <col min="6136" max="6136" width="30.140625" customWidth="1"/>
    <col min="6137" max="6137" width="10" customWidth="1"/>
    <col min="6138" max="6139" width="10.140625" customWidth="1"/>
    <col min="6141" max="6141" width="12.5703125" customWidth="1"/>
    <col min="6391" max="6391" width="29.42578125" customWidth="1"/>
    <col min="6392" max="6392" width="30.140625" customWidth="1"/>
    <col min="6393" max="6393" width="10" customWidth="1"/>
    <col min="6394" max="6395" width="10.140625" customWidth="1"/>
    <col min="6397" max="6397" width="12.5703125" customWidth="1"/>
    <col min="6647" max="6647" width="29.42578125" customWidth="1"/>
    <col min="6648" max="6648" width="30.140625" customWidth="1"/>
    <col min="6649" max="6649" width="10" customWidth="1"/>
    <col min="6650" max="6651" width="10.140625" customWidth="1"/>
    <col min="6653" max="6653" width="12.5703125" customWidth="1"/>
    <col min="6903" max="6903" width="29.42578125" customWidth="1"/>
    <col min="6904" max="6904" width="30.140625" customWidth="1"/>
    <col min="6905" max="6905" width="10" customWidth="1"/>
    <col min="6906" max="6907" width="10.140625" customWidth="1"/>
    <col min="6909" max="6909" width="12.5703125" customWidth="1"/>
    <col min="7159" max="7159" width="29.42578125" customWidth="1"/>
    <col min="7160" max="7160" width="30.140625" customWidth="1"/>
    <col min="7161" max="7161" width="10" customWidth="1"/>
    <col min="7162" max="7163" width="10.140625" customWidth="1"/>
    <col min="7165" max="7165" width="12.5703125" customWidth="1"/>
    <col min="7415" max="7415" width="29.42578125" customWidth="1"/>
    <col min="7416" max="7416" width="30.140625" customWidth="1"/>
    <col min="7417" max="7417" width="10" customWidth="1"/>
    <col min="7418" max="7419" width="10.140625" customWidth="1"/>
    <col min="7421" max="7421" width="12.5703125" customWidth="1"/>
    <col min="7671" max="7671" width="29.42578125" customWidth="1"/>
    <col min="7672" max="7672" width="30.140625" customWidth="1"/>
    <col min="7673" max="7673" width="10" customWidth="1"/>
    <col min="7674" max="7675" width="10.140625" customWidth="1"/>
    <col min="7677" max="7677" width="12.5703125" customWidth="1"/>
    <col min="7927" max="7927" width="29.42578125" customWidth="1"/>
    <col min="7928" max="7928" width="30.140625" customWidth="1"/>
    <col min="7929" max="7929" width="10" customWidth="1"/>
    <col min="7930" max="7931" width="10.140625" customWidth="1"/>
    <col min="7933" max="7933" width="12.5703125" customWidth="1"/>
    <col min="8183" max="8183" width="29.42578125" customWidth="1"/>
    <col min="8184" max="8184" width="30.140625" customWidth="1"/>
    <col min="8185" max="8185" width="10" customWidth="1"/>
    <col min="8186" max="8187" width="10.140625" customWidth="1"/>
    <col min="8189" max="8189" width="12.5703125" customWidth="1"/>
    <col min="8439" max="8439" width="29.42578125" customWidth="1"/>
    <col min="8440" max="8440" width="30.140625" customWidth="1"/>
    <col min="8441" max="8441" width="10" customWidth="1"/>
    <col min="8442" max="8443" width="10.140625" customWidth="1"/>
    <col min="8445" max="8445" width="12.5703125" customWidth="1"/>
    <col min="8695" max="8695" width="29.42578125" customWidth="1"/>
    <col min="8696" max="8696" width="30.140625" customWidth="1"/>
    <col min="8697" max="8697" width="10" customWidth="1"/>
    <col min="8698" max="8699" width="10.140625" customWidth="1"/>
    <col min="8701" max="8701" width="12.5703125" customWidth="1"/>
    <col min="8951" max="8951" width="29.42578125" customWidth="1"/>
    <col min="8952" max="8952" width="30.140625" customWidth="1"/>
    <col min="8953" max="8953" width="10" customWidth="1"/>
    <col min="8954" max="8955" width="10.140625" customWidth="1"/>
    <col min="8957" max="8957" width="12.5703125" customWidth="1"/>
    <col min="9207" max="9207" width="29.42578125" customWidth="1"/>
    <col min="9208" max="9208" width="30.140625" customWidth="1"/>
    <col min="9209" max="9209" width="10" customWidth="1"/>
    <col min="9210" max="9211" width="10.140625" customWidth="1"/>
    <col min="9213" max="9213" width="12.5703125" customWidth="1"/>
    <col min="9463" max="9463" width="29.42578125" customWidth="1"/>
    <col min="9464" max="9464" width="30.140625" customWidth="1"/>
    <col min="9465" max="9465" width="10" customWidth="1"/>
    <col min="9466" max="9467" width="10.140625" customWidth="1"/>
    <col min="9469" max="9469" width="12.5703125" customWidth="1"/>
    <col min="9719" max="9719" width="29.42578125" customWidth="1"/>
    <col min="9720" max="9720" width="30.140625" customWidth="1"/>
    <col min="9721" max="9721" width="10" customWidth="1"/>
    <col min="9722" max="9723" width="10.140625" customWidth="1"/>
    <col min="9725" max="9725" width="12.5703125" customWidth="1"/>
    <col min="9975" max="9975" width="29.42578125" customWidth="1"/>
    <col min="9976" max="9976" width="30.140625" customWidth="1"/>
    <col min="9977" max="9977" width="10" customWidth="1"/>
    <col min="9978" max="9979" width="10.140625" customWidth="1"/>
    <col min="9981" max="9981" width="12.5703125" customWidth="1"/>
    <col min="10231" max="10231" width="29.42578125" customWidth="1"/>
    <col min="10232" max="10232" width="30.140625" customWidth="1"/>
    <col min="10233" max="10233" width="10" customWidth="1"/>
    <col min="10234" max="10235" width="10.140625" customWidth="1"/>
    <col min="10237" max="10237" width="12.5703125" customWidth="1"/>
    <col min="10487" max="10487" width="29.42578125" customWidth="1"/>
    <col min="10488" max="10488" width="30.140625" customWidth="1"/>
    <col min="10489" max="10489" width="10" customWidth="1"/>
    <col min="10490" max="10491" width="10.140625" customWidth="1"/>
    <col min="10493" max="10493" width="12.5703125" customWidth="1"/>
    <col min="10743" max="10743" width="29.42578125" customWidth="1"/>
    <col min="10744" max="10744" width="30.140625" customWidth="1"/>
    <col min="10745" max="10745" width="10" customWidth="1"/>
    <col min="10746" max="10747" width="10.140625" customWidth="1"/>
    <col min="10749" max="10749" width="12.5703125" customWidth="1"/>
    <col min="10999" max="10999" width="29.42578125" customWidth="1"/>
    <col min="11000" max="11000" width="30.140625" customWidth="1"/>
    <col min="11001" max="11001" width="10" customWidth="1"/>
    <col min="11002" max="11003" width="10.140625" customWidth="1"/>
    <col min="11005" max="11005" width="12.5703125" customWidth="1"/>
    <col min="11255" max="11255" width="29.42578125" customWidth="1"/>
    <col min="11256" max="11256" width="30.140625" customWidth="1"/>
    <col min="11257" max="11257" width="10" customWidth="1"/>
    <col min="11258" max="11259" width="10.140625" customWidth="1"/>
    <col min="11261" max="11261" width="12.5703125" customWidth="1"/>
    <col min="11511" max="11511" width="29.42578125" customWidth="1"/>
    <col min="11512" max="11512" width="30.140625" customWidth="1"/>
    <col min="11513" max="11513" width="10" customWidth="1"/>
    <col min="11514" max="11515" width="10.140625" customWidth="1"/>
    <col min="11517" max="11517" width="12.5703125" customWidth="1"/>
    <col min="11767" max="11767" width="29.42578125" customWidth="1"/>
    <col min="11768" max="11768" width="30.140625" customWidth="1"/>
    <col min="11769" max="11769" width="10" customWidth="1"/>
    <col min="11770" max="11771" width="10.140625" customWidth="1"/>
    <col min="11773" max="11773" width="12.5703125" customWidth="1"/>
    <col min="12023" max="12023" width="29.42578125" customWidth="1"/>
    <col min="12024" max="12024" width="30.140625" customWidth="1"/>
    <col min="12025" max="12025" width="10" customWidth="1"/>
    <col min="12026" max="12027" width="10.140625" customWidth="1"/>
    <col min="12029" max="12029" width="12.5703125" customWidth="1"/>
    <col min="12279" max="12279" width="29.42578125" customWidth="1"/>
    <col min="12280" max="12280" width="30.140625" customWidth="1"/>
    <col min="12281" max="12281" width="10" customWidth="1"/>
    <col min="12282" max="12283" width="10.140625" customWidth="1"/>
    <col min="12285" max="12285" width="12.5703125" customWidth="1"/>
    <col min="12535" max="12535" width="29.42578125" customWidth="1"/>
    <col min="12536" max="12536" width="30.140625" customWidth="1"/>
    <col min="12537" max="12537" width="10" customWidth="1"/>
    <col min="12538" max="12539" width="10.140625" customWidth="1"/>
    <col min="12541" max="12541" width="12.5703125" customWidth="1"/>
    <col min="12791" max="12791" width="29.42578125" customWidth="1"/>
    <col min="12792" max="12792" width="30.140625" customWidth="1"/>
    <col min="12793" max="12793" width="10" customWidth="1"/>
    <col min="12794" max="12795" width="10.140625" customWidth="1"/>
    <col min="12797" max="12797" width="12.5703125" customWidth="1"/>
    <col min="13047" max="13047" width="29.42578125" customWidth="1"/>
    <col min="13048" max="13048" width="30.140625" customWidth="1"/>
    <col min="13049" max="13049" width="10" customWidth="1"/>
    <col min="13050" max="13051" width="10.140625" customWidth="1"/>
    <col min="13053" max="13053" width="12.5703125" customWidth="1"/>
    <col min="13303" max="13303" width="29.42578125" customWidth="1"/>
    <col min="13304" max="13304" width="30.140625" customWidth="1"/>
    <col min="13305" max="13305" width="10" customWidth="1"/>
    <col min="13306" max="13307" width="10.140625" customWidth="1"/>
    <col min="13309" max="13309" width="12.5703125" customWidth="1"/>
    <col min="13559" max="13559" width="29.42578125" customWidth="1"/>
    <col min="13560" max="13560" width="30.140625" customWidth="1"/>
    <col min="13561" max="13561" width="10" customWidth="1"/>
    <col min="13562" max="13563" width="10.140625" customWidth="1"/>
    <col min="13565" max="13565" width="12.5703125" customWidth="1"/>
    <col min="13815" max="13815" width="29.42578125" customWidth="1"/>
    <col min="13816" max="13816" width="30.140625" customWidth="1"/>
    <col min="13817" max="13817" width="10" customWidth="1"/>
    <col min="13818" max="13819" width="10.140625" customWidth="1"/>
    <col min="13821" max="13821" width="12.5703125" customWidth="1"/>
    <col min="14071" max="14071" width="29.42578125" customWidth="1"/>
    <col min="14072" max="14072" width="30.140625" customWidth="1"/>
    <col min="14073" max="14073" width="10" customWidth="1"/>
    <col min="14074" max="14075" width="10.140625" customWidth="1"/>
    <col min="14077" max="14077" width="12.5703125" customWidth="1"/>
    <col min="14327" max="14327" width="29.42578125" customWidth="1"/>
    <col min="14328" max="14328" width="30.140625" customWidth="1"/>
    <col min="14329" max="14329" width="10" customWidth="1"/>
    <col min="14330" max="14331" width="10.140625" customWidth="1"/>
    <col min="14333" max="14333" width="12.5703125" customWidth="1"/>
    <col min="14583" max="14583" width="29.42578125" customWidth="1"/>
    <col min="14584" max="14584" width="30.140625" customWidth="1"/>
    <col min="14585" max="14585" width="10" customWidth="1"/>
    <col min="14586" max="14587" width="10.140625" customWidth="1"/>
    <col min="14589" max="14589" width="12.5703125" customWidth="1"/>
    <col min="14839" max="14839" width="29.42578125" customWidth="1"/>
    <col min="14840" max="14840" width="30.140625" customWidth="1"/>
    <col min="14841" max="14841" width="10" customWidth="1"/>
    <col min="14842" max="14843" width="10.140625" customWidth="1"/>
    <col min="14845" max="14845" width="12.5703125" customWidth="1"/>
    <col min="15095" max="15095" width="29.42578125" customWidth="1"/>
    <col min="15096" max="15096" width="30.140625" customWidth="1"/>
    <col min="15097" max="15097" width="10" customWidth="1"/>
    <col min="15098" max="15099" width="10.140625" customWidth="1"/>
    <col min="15101" max="15101" width="12.5703125" customWidth="1"/>
    <col min="15351" max="15351" width="29.42578125" customWidth="1"/>
    <col min="15352" max="15352" width="30.140625" customWidth="1"/>
    <col min="15353" max="15353" width="10" customWidth="1"/>
    <col min="15354" max="15355" width="10.140625" customWidth="1"/>
    <col min="15357" max="15357" width="12.5703125" customWidth="1"/>
    <col min="15607" max="15607" width="29.42578125" customWidth="1"/>
    <col min="15608" max="15608" width="30.140625" customWidth="1"/>
    <col min="15609" max="15609" width="10" customWidth="1"/>
    <col min="15610" max="15611" width="10.140625" customWidth="1"/>
    <col min="15613" max="15613" width="12.5703125" customWidth="1"/>
    <col min="15863" max="15863" width="29.42578125" customWidth="1"/>
    <col min="15864" max="15864" width="30.140625" customWidth="1"/>
    <col min="15865" max="15865" width="10" customWidth="1"/>
    <col min="15866" max="15867" width="10.140625" customWidth="1"/>
    <col min="15869" max="15869" width="12.5703125" customWidth="1"/>
    <col min="16119" max="16119" width="29.42578125" customWidth="1"/>
    <col min="16120" max="16120" width="30.140625" customWidth="1"/>
    <col min="16121" max="16121" width="10" customWidth="1"/>
    <col min="16122" max="16123" width="10.140625" customWidth="1"/>
    <col min="16125" max="16125" width="12.5703125" customWidth="1"/>
  </cols>
  <sheetData>
    <row r="1" spans="1:35" s="80" customFormat="1" ht="15.75" thickBot="1" x14ac:dyDescent="0.3">
      <c r="E1" s="83"/>
      <c r="F1" s="83"/>
      <c r="G1" s="83"/>
      <c r="H1" s="83"/>
    </row>
    <row r="2" spans="1:35" ht="34.5" customHeight="1" x14ac:dyDescent="0.35">
      <c r="B2" s="84"/>
      <c r="C2" s="222" t="s">
        <v>220</v>
      </c>
      <c r="D2" s="222"/>
      <c r="E2" s="222"/>
      <c r="F2" s="222"/>
      <c r="G2" s="222"/>
      <c r="H2" s="222"/>
      <c r="I2" s="222"/>
      <c r="J2" s="85"/>
    </row>
    <row r="3" spans="1:35" ht="15.75" customHeight="1" x14ac:dyDescent="0.25">
      <c r="B3" s="86"/>
      <c r="C3" s="226" t="s">
        <v>219</v>
      </c>
      <c r="D3" s="227"/>
      <c r="E3" s="227"/>
      <c r="F3" s="227"/>
      <c r="G3" s="227"/>
      <c r="H3" s="227"/>
      <c r="I3" s="227"/>
      <c r="J3" s="228"/>
    </row>
    <row r="4" spans="1:35" ht="15.75" customHeight="1" x14ac:dyDescent="0.25">
      <c r="B4" s="86"/>
      <c r="C4" s="227"/>
      <c r="D4" s="227"/>
      <c r="E4" s="227"/>
      <c r="F4" s="227"/>
      <c r="G4" s="227"/>
      <c r="H4" s="227"/>
      <c r="I4" s="227"/>
      <c r="J4" s="228"/>
    </row>
    <row r="5" spans="1:35" ht="49.5" customHeight="1" x14ac:dyDescent="0.25">
      <c r="B5" s="86"/>
      <c r="C5" s="227"/>
      <c r="D5" s="227"/>
      <c r="E5" s="227"/>
      <c r="F5" s="227"/>
      <c r="G5" s="227"/>
      <c r="H5" s="227"/>
      <c r="I5" s="227"/>
      <c r="J5" s="228"/>
    </row>
    <row r="6" spans="1:35" ht="15" customHeight="1" x14ac:dyDescent="0.25">
      <c r="B6" s="86"/>
      <c r="C6" s="105"/>
      <c r="D6" s="105"/>
      <c r="E6" s="105"/>
      <c r="F6" s="105"/>
      <c r="G6" s="105"/>
      <c r="H6" s="105"/>
      <c r="I6" s="105"/>
      <c r="J6" s="108"/>
    </row>
    <row r="7" spans="1:35" ht="24.75" customHeight="1" x14ac:dyDescent="0.25">
      <c r="B7" s="86"/>
      <c r="C7" s="229" t="s">
        <v>49</v>
      </c>
      <c r="D7" s="230"/>
      <c r="E7" s="230"/>
      <c r="F7" s="230"/>
      <c r="G7" s="230"/>
      <c r="H7" s="230"/>
      <c r="I7" s="231"/>
      <c r="J7" s="108"/>
    </row>
    <row r="8" spans="1:35" ht="38.25" customHeight="1" x14ac:dyDescent="0.25">
      <c r="B8" s="86"/>
      <c r="C8" s="223" t="s">
        <v>38</v>
      </c>
      <c r="D8" s="224"/>
      <c r="E8" s="224"/>
      <c r="F8" s="224"/>
      <c r="G8" s="224"/>
      <c r="H8" s="224"/>
      <c r="I8" s="225"/>
      <c r="J8" s="108"/>
    </row>
    <row r="9" spans="1:35" ht="38.25" customHeight="1" x14ac:dyDescent="0.25">
      <c r="B9" s="86"/>
      <c r="C9" s="223" t="s">
        <v>76</v>
      </c>
      <c r="D9" s="224"/>
      <c r="E9" s="224"/>
      <c r="F9" s="224"/>
      <c r="G9" s="224"/>
      <c r="H9" s="224"/>
      <c r="I9" s="225"/>
      <c r="J9" s="108"/>
    </row>
    <row r="10" spans="1:35" ht="38.25" customHeight="1" x14ac:dyDescent="0.25">
      <c r="B10" s="86"/>
      <c r="C10" s="223" t="s">
        <v>77</v>
      </c>
      <c r="D10" s="224"/>
      <c r="E10" s="224"/>
      <c r="F10" s="224"/>
      <c r="G10" s="224"/>
      <c r="H10" s="224"/>
      <c r="I10" s="225"/>
      <c r="J10" s="108"/>
    </row>
    <row r="11" spans="1:35" ht="38.25" customHeight="1" x14ac:dyDescent="0.25">
      <c r="B11" s="86"/>
      <c r="C11" s="219" t="s">
        <v>39</v>
      </c>
      <c r="D11" s="220"/>
      <c r="E11" s="220"/>
      <c r="F11" s="220"/>
      <c r="G11" s="220"/>
      <c r="H11" s="220"/>
      <c r="I11" s="221"/>
      <c r="J11" s="108"/>
    </row>
    <row r="12" spans="1:35" ht="24" customHeight="1" x14ac:dyDescent="0.25">
      <c r="B12" s="86"/>
      <c r="C12" s="105"/>
      <c r="D12" s="105"/>
      <c r="E12" s="105"/>
      <c r="F12" s="105"/>
      <c r="G12" s="105"/>
      <c r="H12" s="105"/>
      <c r="I12" s="105"/>
      <c r="J12" s="108"/>
    </row>
    <row r="13" spans="1:35" ht="24" customHeight="1" x14ac:dyDescent="0.25">
      <c r="B13" s="86"/>
      <c r="C13" s="234" t="s">
        <v>70</v>
      </c>
      <c r="D13" s="235"/>
      <c r="E13" s="235"/>
      <c r="F13" s="235"/>
      <c r="G13" s="235"/>
      <c r="H13" s="235"/>
      <c r="I13" s="236"/>
      <c r="J13" s="108"/>
    </row>
    <row r="14" spans="1:35" s="90" customFormat="1" ht="60" x14ac:dyDescent="0.25">
      <c r="A14" s="87"/>
      <c r="B14" s="88"/>
      <c r="C14" s="128" t="s">
        <v>40</v>
      </c>
      <c r="D14" s="102" t="s">
        <v>25</v>
      </c>
      <c r="E14" s="103" t="s">
        <v>218</v>
      </c>
      <c r="F14" s="103" t="s">
        <v>217</v>
      </c>
      <c r="G14" s="103" t="s">
        <v>50</v>
      </c>
      <c r="H14" s="127" t="s">
        <v>41</v>
      </c>
      <c r="I14" s="129" t="s">
        <v>42</v>
      </c>
      <c r="J14" s="89"/>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row>
    <row r="15" spans="1:35" x14ac:dyDescent="0.25">
      <c r="B15" s="86"/>
      <c r="C15" s="112" t="s">
        <v>27</v>
      </c>
      <c r="D15" s="91" t="s">
        <v>43</v>
      </c>
      <c r="E15" s="92">
        <v>10</v>
      </c>
      <c r="F15" s="106">
        <v>10</v>
      </c>
      <c r="G15" s="93"/>
      <c r="H15" s="94">
        <f>G15</f>
        <v>0</v>
      </c>
      <c r="I15" s="113">
        <f>H15*(1/0.2)</f>
        <v>0</v>
      </c>
      <c r="J15" s="96"/>
    </row>
    <row r="16" spans="1:35" x14ac:dyDescent="0.25">
      <c r="B16" s="86"/>
      <c r="C16" s="112" t="s">
        <v>26</v>
      </c>
      <c r="D16" s="97" t="s">
        <v>44</v>
      </c>
      <c r="E16" s="98" t="s">
        <v>63</v>
      </c>
      <c r="F16" s="107">
        <v>1</v>
      </c>
      <c r="G16" s="93"/>
      <c r="H16" s="94">
        <f t="shared" ref="H16" si="0">G16*$E$15/F16</f>
        <v>0</v>
      </c>
      <c r="I16" s="95">
        <f t="shared" ref="I16:I22" si="1">H16*(1/0.2)</f>
        <v>0</v>
      </c>
      <c r="J16" s="96"/>
    </row>
    <row r="17" spans="2:10" x14ac:dyDescent="0.25">
      <c r="B17" s="86"/>
      <c r="C17" s="112" t="s">
        <v>33</v>
      </c>
      <c r="D17" s="91" t="s">
        <v>31</v>
      </c>
      <c r="E17" s="92" t="s">
        <v>64</v>
      </c>
      <c r="F17" s="106">
        <v>0.5</v>
      </c>
      <c r="G17" s="93"/>
      <c r="H17" s="94">
        <f t="shared" ref="H17:H22" si="2">G17*$E$15/F17</f>
        <v>0</v>
      </c>
      <c r="I17" s="95">
        <f t="shared" si="1"/>
        <v>0</v>
      </c>
      <c r="J17" s="96"/>
    </row>
    <row r="18" spans="2:10" x14ac:dyDescent="0.25">
      <c r="B18" s="86"/>
      <c r="C18" s="112" t="s">
        <v>29</v>
      </c>
      <c r="D18" s="91" t="s">
        <v>34</v>
      </c>
      <c r="E18" s="92" t="s">
        <v>64</v>
      </c>
      <c r="F18" s="106">
        <v>0.5</v>
      </c>
      <c r="G18" s="93"/>
      <c r="H18" s="94">
        <f t="shared" si="2"/>
        <v>0</v>
      </c>
      <c r="I18" s="95">
        <f t="shared" si="1"/>
        <v>0</v>
      </c>
      <c r="J18" s="96"/>
    </row>
    <row r="19" spans="2:10" x14ac:dyDescent="0.25">
      <c r="B19" s="86"/>
      <c r="C19" s="112" t="s">
        <v>28</v>
      </c>
      <c r="D19" s="97" t="s">
        <v>45</v>
      </c>
      <c r="E19" s="110" t="s">
        <v>66</v>
      </c>
      <c r="F19" s="107">
        <v>10</v>
      </c>
      <c r="G19" s="93"/>
      <c r="H19" s="94">
        <f t="shared" si="2"/>
        <v>0</v>
      </c>
      <c r="I19" s="95">
        <f t="shared" si="1"/>
        <v>0</v>
      </c>
      <c r="J19" s="96"/>
    </row>
    <row r="20" spans="2:10" x14ac:dyDescent="0.25">
      <c r="B20" s="86"/>
      <c r="C20" s="112" t="s">
        <v>35</v>
      </c>
      <c r="D20" s="91" t="s">
        <v>32</v>
      </c>
      <c r="E20" s="110" t="s">
        <v>67</v>
      </c>
      <c r="F20" s="106">
        <v>25</v>
      </c>
      <c r="G20" s="93"/>
      <c r="H20" s="94">
        <f t="shared" si="2"/>
        <v>0</v>
      </c>
      <c r="I20" s="95">
        <f t="shared" si="1"/>
        <v>0</v>
      </c>
      <c r="J20" s="96"/>
    </row>
    <row r="21" spans="2:10" x14ac:dyDescent="0.25">
      <c r="B21" s="86"/>
      <c r="C21" s="112" t="s">
        <v>36</v>
      </c>
      <c r="D21" s="91" t="s">
        <v>46</v>
      </c>
      <c r="E21" s="110" t="s">
        <v>68</v>
      </c>
      <c r="F21" s="106">
        <v>15</v>
      </c>
      <c r="G21" s="93"/>
      <c r="H21" s="94">
        <f t="shared" si="2"/>
        <v>0</v>
      </c>
      <c r="I21" s="95">
        <f t="shared" si="1"/>
        <v>0</v>
      </c>
      <c r="J21" s="96"/>
    </row>
    <row r="22" spans="2:10" ht="15" customHeight="1" x14ac:dyDescent="0.25">
      <c r="B22" s="86"/>
      <c r="C22" s="112" t="s">
        <v>30</v>
      </c>
      <c r="D22" s="97" t="s">
        <v>37</v>
      </c>
      <c r="E22" s="111" t="s">
        <v>69</v>
      </c>
      <c r="F22" s="107">
        <v>20</v>
      </c>
      <c r="G22" s="93"/>
      <c r="H22" s="94">
        <f t="shared" si="2"/>
        <v>0</v>
      </c>
      <c r="I22" s="95">
        <f t="shared" si="1"/>
        <v>0</v>
      </c>
      <c r="J22" s="96"/>
    </row>
    <row r="23" spans="2:10" ht="15.75" thickBot="1" x14ac:dyDescent="0.3">
      <c r="B23" s="86"/>
      <c r="C23" s="232" t="s">
        <v>47</v>
      </c>
      <c r="D23" s="233"/>
      <c r="E23" s="233"/>
      <c r="F23" s="233"/>
      <c r="G23" s="233"/>
      <c r="H23" s="99">
        <f>SUM(H15:H22)</f>
        <v>0</v>
      </c>
      <c r="I23" s="95"/>
      <c r="J23" s="96"/>
    </row>
    <row r="24" spans="2:10" ht="15.75" thickTop="1" x14ac:dyDescent="0.25">
      <c r="B24" s="86"/>
      <c r="C24" s="237" t="s">
        <v>48</v>
      </c>
      <c r="D24" s="238"/>
      <c r="E24" s="238"/>
      <c r="F24" s="238"/>
      <c r="G24" s="238"/>
      <c r="H24" s="238"/>
      <c r="I24" s="113">
        <f>SUM(I15:I22)</f>
        <v>0</v>
      </c>
      <c r="J24" s="96"/>
    </row>
    <row r="25" spans="2:10" x14ac:dyDescent="0.25">
      <c r="B25" s="86"/>
      <c r="C25" s="81" t="s">
        <v>65</v>
      </c>
      <c r="D25" s="81"/>
      <c r="E25" s="109"/>
      <c r="F25" s="109"/>
      <c r="G25" s="109"/>
      <c r="H25" s="109"/>
      <c r="I25" s="81"/>
      <c r="J25" s="96"/>
    </row>
    <row r="26" spans="2:10" x14ac:dyDescent="0.25">
      <c r="B26" s="86"/>
      <c r="C26" s="81"/>
      <c r="D26" s="81"/>
      <c r="E26" s="109"/>
      <c r="F26" s="109"/>
      <c r="G26" s="109"/>
      <c r="H26" s="109"/>
      <c r="I26" s="81"/>
      <c r="J26" s="96"/>
    </row>
    <row r="27" spans="2:10" x14ac:dyDescent="0.25">
      <c r="B27" s="86"/>
      <c r="C27" s="81"/>
      <c r="D27" s="81"/>
      <c r="E27" s="109"/>
      <c r="F27" s="109"/>
      <c r="G27" s="109"/>
      <c r="H27" s="109"/>
      <c r="I27" s="81"/>
      <c r="J27" s="96"/>
    </row>
    <row r="28" spans="2:10" ht="15.75" x14ac:dyDescent="0.25">
      <c r="B28" s="86"/>
      <c r="C28" s="81"/>
      <c r="D28" s="123" t="s">
        <v>75</v>
      </c>
      <c r="E28" s="124"/>
      <c r="F28" s="124"/>
      <c r="G28" s="124"/>
      <c r="H28" s="125"/>
      <c r="I28" s="81"/>
      <c r="J28" s="96"/>
    </row>
    <row r="29" spans="2:10" ht="30" x14ac:dyDescent="0.25">
      <c r="B29" s="86"/>
      <c r="C29" s="81"/>
      <c r="D29" s="116" t="s">
        <v>62</v>
      </c>
      <c r="E29" s="114">
        <v>1</v>
      </c>
      <c r="F29" s="115">
        <v>2</v>
      </c>
      <c r="G29" s="115">
        <v>3</v>
      </c>
      <c r="H29" s="117">
        <v>4</v>
      </c>
      <c r="I29" s="81"/>
      <c r="J29" s="96"/>
    </row>
    <row r="30" spans="2:10" x14ac:dyDescent="0.25">
      <c r="B30" s="88"/>
      <c r="C30" s="81"/>
      <c r="D30" s="120" t="s">
        <v>27</v>
      </c>
      <c r="E30" s="121" t="s">
        <v>59</v>
      </c>
      <c r="F30" s="121">
        <v>10</v>
      </c>
      <c r="G30" s="121">
        <v>10</v>
      </c>
      <c r="H30" s="122">
        <v>10</v>
      </c>
      <c r="I30" s="81"/>
      <c r="J30" s="96"/>
    </row>
    <row r="31" spans="2:10" x14ac:dyDescent="0.25">
      <c r="B31" s="86"/>
      <c r="C31" s="81"/>
      <c r="D31" s="120" t="s">
        <v>26</v>
      </c>
      <c r="E31" s="121" t="s">
        <v>52</v>
      </c>
      <c r="F31" s="121" t="s">
        <v>52</v>
      </c>
      <c r="G31" s="121">
        <v>0.5</v>
      </c>
      <c r="H31" s="122" t="s">
        <v>52</v>
      </c>
      <c r="I31" s="81"/>
      <c r="J31" s="96"/>
    </row>
    <row r="32" spans="2:10" x14ac:dyDescent="0.25">
      <c r="B32" s="86"/>
      <c r="C32" s="81"/>
      <c r="D32" s="120" t="s">
        <v>33</v>
      </c>
      <c r="E32" s="121" t="s">
        <v>52</v>
      </c>
      <c r="F32" s="121">
        <v>0.5</v>
      </c>
      <c r="G32" s="121">
        <v>0.5</v>
      </c>
      <c r="H32" s="122" t="s">
        <v>52</v>
      </c>
      <c r="I32" s="81"/>
      <c r="J32" s="96"/>
    </row>
    <row r="33" spans="2:10" x14ac:dyDescent="0.25">
      <c r="B33" s="86"/>
      <c r="C33" s="81"/>
      <c r="D33" s="120" t="s">
        <v>29</v>
      </c>
      <c r="E33" s="121" t="s">
        <v>52</v>
      </c>
      <c r="F33" s="121">
        <v>1</v>
      </c>
      <c r="G33" s="121">
        <v>1</v>
      </c>
      <c r="H33" s="122" t="s">
        <v>52</v>
      </c>
      <c r="I33" s="81"/>
      <c r="J33" s="96"/>
    </row>
    <row r="34" spans="2:10" x14ac:dyDescent="0.25">
      <c r="B34" s="86"/>
      <c r="C34" s="81"/>
      <c r="D34" s="120" t="s">
        <v>28</v>
      </c>
      <c r="E34" s="121">
        <v>10</v>
      </c>
      <c r="F34" s="121" t="s">
        <v>56</v>
      </c>
      <c r="G34" s="121">
        <v>10</v>
      </c>
      <c r="H34" s="122">
        <v>10</v>
      </c>
      <c r="I34" s="81"/>
      <c r="J34" s="96"/>
    </row>
    <row r="35" spans="2:10" x14ac:dyDescent="0.25">
      <c r="B35" s="86"/>
      <c r="C35" s="81"/>
      <c r="D35" s="120" t="s">
        <v>35</v>
      </c>
      <c r="E35" s="121" t="s">
        <v>61</v>
      </c>
      <c r="F35" s="121" t="s">
        <v>57</v>
      </c>
      <c r="G35" s="121">
        <v>20</v>
      </c>
      <c r="H35" s="122" t="s">
        <v>53</v>
      </c>
      <c r="I35" s="81"/>
      <c r="J35" s="96"/>
    </row>
    <row r="36" spans="2:10" x14ac:dyDescent="0.25">
      <c r="B36" s="86"/>
      <c r="C36" s="81"/>
      <c r="D36" s="120" t="s">
        <v>36</v>
      </c>
      <c r="E36" s="121" t="s">
        <v>60</v>
      </c>
      <c r="F36" s="121" t="s">
        <v>58</v>
      </c>
      <c r="G36" s="121">
        <v>15</v>
      </c>
      <c r="H36" s="122" t="s">
        <v>54</v>
      </c>
      <c r="I36" s="81"/>
      <c r="J36" s="96"/>
    </row>
    <row r="37" spans="2:10" x14ac:dyDescent="0.25">
      <c r="B37" s="86"/>
      <c r="C37" s="81"/>
      <c r="D37" s="120" t="s">
        <v>30</v>
      </c>
      <c r="E37" s="121" t="s">
        <v>58</v>
      </c>
      <c r="F37" s="121" t="s">
        <v>54</v>
      </c>
      <c r="G37" s="121">
        <v>20</v>
      </c>
      <c r="H37" s="122" t="s">
        <v>55</v>
      </c>
      <c r="I37" s="81"/>
      <c r="J37" s="96"/>
    </row>
    <row r="38" spans="2:10" x14ac:dyDescent="0.25">
      <c r="B38" s="86"/>
      <c r="C38" s="81"/>
      <c r="D38" s="118"/>
      <c r="E38" s="81"/>
      <c r="F38" s="81"/>
      <c r="G38" s="81"/>
      <c r="H38" s="119"/>
      <c r="I38" s="81"/>
      <c r="J38" s="96"/>
    </row>
    <row r="39" spans="2:10" ht="45" customHeight="1" x14ac:dyDescent="0.25">
      <c r="B39" s="86"/>
      <c r="C39" s="81"/>
      <c r="D39" s="223" t="s">
        <v>74</v>
      </c>
      <c r="E39" s="224"/>
      <c r="F39" s="224"/>
      <c r="G39" s="224"/>
      <c r="H39" s="225"/>
      <c r="I39" s="81"/>
      <c r="J39" s="96"/>
    </row>
    <row r="40" spans="2:10" ht="45" customHeight="1" x14ac:dyDescent="0.25">
      <c r="B40" s="86"/>
      <c r="C40" s="81"/>
      <c r="D40" s="223" t="s">
        <v>72</v>
      </c>
      <c r="E40" s="224"/>
      <c r="F40" s="224"/>
      <c r="G40" s="224"/>
      <c r="H40" s="225"/>
      <c r="I40" s="81"/>
      <c r="J40" s="96"/>
    </row>
    <row r="41" spans="2:10" ht="45" customHeight="1" x14ac:dyDescent="0.25">
      <c r="B41" s="86"/>
      <c r="C41" s="81"/>
      <c r="D41" s="223" t="s">
        <v>73</v>
      </c>
      <c r="E41" s="224"/>
      <c r="F41" s="224"/>
      <c r="G41" s="224"/>
      <c r="H41" s="225"/>
      <c r="I41" s="81"/>
      <c r="J41" s="96"/>
    </row>
    <row r="42" spans="2:10" ht="45" customHeight="1" x14ac:dyDescent="0.25">
      <c r="B42" s="86"/>
      <c r="C42" s="81"/>
      <c r="D42" s="223" t="s">
        <v>71</v>
      </c>
      <c r="E42" s="224"/>
      <c r="F42" s="224"/>
      <c r="G42" s="224"/>
      <c r="H42" s="225"/>
      <c r="I42" s="81"/>
      <c r="J42" s="96"/>
    </row>
    <row r="43" spans="2:10" ht="45" customHeight="1" x14ac:dyDescent="0.25">
      <c r="B43" s="86"/>
      <c r="C43" s="81"/>
      <c r="D43" s="219" t="s">
        <v>78</v>
      </c>
      <c r="E43" s="220"/>
      <c r="F43" s="220"/>
      <c r="G43" s="220"/>
      <c r="H43" s="221"/>
      <c r="I43" s="81"/>
      <c r="J43" s="96"/>
    </row>
    <row r="44" spans="2:10" ht="51" customHeight="1" thickBot="1" x14ac:dyDescent="0.3">
      <c r="B44" s="100"/>
      <c r="C44" s="82"/>
      <c r="D44" s="130" t="s">
        <v>79</v>
      </c>
      <c r="E44" s="126"/>
      <c r="F44" s="82"/>
      <c r="G44" s="82"/>
      <c r="H44" s="82"/>
      <c r="I44" s="82"/>
      <c r="J44" s="101"/>
    </row>
    <row r="45" spans="2:10" x14ac:dyDescent="0.25">
      <c r="C45" s="80"/>
      <c r="D45" s="80"/>
      <c r="E45" s="83"/>
      <c r="F45" s="83"/>
      <c r="G45" s="83"/>
      <c r="H45" s="83"/>
      <c r="I45" s="80"/>
      <c r="J45" s="80"/>
    </row>
    <row r="46" spans="2:10" x14ac:dyDescent="0.25">
      <c r="C46" s="80"/>
      <c r="D46" s="80"/>
      <c r="E46" s="83"/>
      <c r="F46" s="83"/>
      <c r="G46" s="83"/>
      <c r="H46" s="83"/>
      <c r="I46" s="80"/>
      <c r="J46" s="80"/>
    </row>
    <row r="47" spans="2:10" x14ac:dyDescent="0.25">
      <c r="C47" s="80"/>
      <c r="D47" s="80"/>
      <c r="E47" s="83"/>
      <c r="F47" s="83"/>
      <c r="G47" s="83"/>
      <c r="H47" s="83"/>
      <c r="I47" s="80"/>
      <c r="J47" s="80"/>
    </row>
    <row r="48" spans="2:10" x14ac:dyDescent="0.25">
      <c r="C48" s="80"/>
      <c r="D48" s="80"/>
      <c r="E48" s="83"/>
      <c r="F48" s="83"/>
      <c r="G48" s="83"/>
      <c r="H48" s="83"/>
      <c r="I48" s="80"/>
      <c r="J48" s="80"/>
    </row>
    <row r="49" spans="3:10" x14ac:dyDescent="0.25">
      <c r="C49" s="80"/>
      <c r="D49" s="80"/>
      <c r="E49" s="83"/>
      <c r="F49" s="83"/>
      <c r="G49" s="83"/>
      <c r="H49" s="83"/>
      <c r="I49" s="80"/>
      <c r="J49" s="80"/>
    </row>
    <row r="50" spans="3:10" x14ac:dyDescent="0.25">
      <c r="C50" s="80"/>
      <c r="D50" s="80"/>
      <c r="E50" s="83"/>
      <c r="F50" s="83"/>
      <c r="G50" s="83"/>
      <c r="H50" s="83"/>
      <c r="I50" s="80"/>
      <c r="J50" s="80"/>
    </row>
    <row r="51" spans="3:10" x14ac:dyDescent="0.25">
      <c r="C51" s="80"/>
      <c r="D51" s="80"/>
      <c r="E51" s="83"/>
      <c r="F51" s="83"/>
      <c r="G51" s="83"/>
      <c r="H51" s="83"/>
      <c r="I51" s="80"/>
      <c r="J51" s="80"/>
    </row>
    <row r="52" spans="3:10" x14ac:dyDescent="0.25">
      <c r="C52" s="80"/>
      <c r="D52" s="80"/>
      <c r="E52" s="83"/>
      <c r="F52" s="83"/>
      <c r="G52" s="83"/>
      <c r="H52" s="83"/>
      <c r="I52" s="80"/>
      <c r="J52" s="80"/>
    </row>
    <row r="53" spans="3:10" x14ac:dyDescent="0.25">
      <c r="C53" s="80"/>
      <c r="D53" s="80"/>
      <c r="E53" s="83"/>
      <c r="F53" s="83"/>
      <c r="G53" s="83"/>
      <c r="H53" s="83"/>
      <c r="I53" s="80"/>
      <c r="J53" s="80"/>
    </row>
    <row r="54" spans="3:10" x14ac:dyDescent="0.25">
      <c r="C54" s="80"/>
      <c r="D54" s="80"/>
      <c r="E54" s="83"/>
      <c r="F54" s="83"/>
      <c r="G54" s="83"/>
      <c r="H54" s="83"/>
      <c r="I54" s="80"/>
      <c r="J54" s="80"/>
    </row>
    <row r="55" spans="3:10" x14ac:dyDescent="0.25">
      <c r="C55" s="80"/>
      <c r="D55" s="80"/>
      <c r="E55" s="83"/>
      <c r="F55" s="83"/>
      <c r="G55" s="83"/>
      <c r="H55" s="83"/>
      <c r="I55" s="80"/>
      <c r="J55" s="80"/>
    </row>
    <row r="56" spans="3:10" x14ac:dyDescent="0.25">
      <c r="C56" s="80"/>
      <c r="D56" s="80"/>
      <c r="E56" s="83"/>
      <c r="F56" s="83"/>
      <c r="G56" s="83"/>
      <c r="H56" s="83"/>
      <c r="I56" s="80"/>
      <c r="J56" s="80"/>
    </row>
    <row r="57" spans="3:10" x14ac:dyDescent="0.25">
      <c r="C57" s="80"/>
      <c r="D57" s="80"/>
      <c r="E57" s="83"/>
      <c r="F57" s="83"/>
      <c r="G57" s="83"/>
      <c r="H57" s="83"/>
      <c r="I57" s="80"/>
      <c r="J57" s="80"/>
    </row>
    <row r="58" spans="3:10" x14ac:dyDescent="0.25">
      <c r="C58" s="80"/>
      <c r="D58" s="80"/>
      <c r="E58" s="83"/>
      <c r="F58" s="83"/>
      <c r="G58" s="83"/>
      <c r="H58" s="83"/>
      <c r="I58" s="80"/>
      <c r="J58" s="80"/>
    </row>
    <row r="59" spans="3:10" x14ac:dyDescent="0.25">
      <c r="C59" s="80"/>
      <c r="D59" s="80"/>
      <c r="E59" s="83"/>
      <c r="F59" s="83"/>
      <c r="G59" s="83"/>
      <c r="H59" s="83"/>
      <c r="I59" s="80"/>
      <c r="J59" s="80"/>
    </row>
    <row r="60" spans="3:10" x14ac:dyDescent="0.25">
      <c r="C60" s="80"/>
      <c r="D60" s="80"/>
      <c r="E60" s="83"/>
      <c r="F60" s="83"/>
      <c r="G60" s="83"/>
      <c r="H60" s="83"/>
      <c r="I60" s="80"/>
      <c r="J60" s="80"/>
    </row>
    <row r="61" spans="3:10" x14ac:dyDescent="0.25">
      <c r="C61" s="80"/>
      <c r="D61" s="80"/>
      <c r="E61" s="83"/>
      <c r="F61" s="83"/>
      <c r="G61" s="83"/>
      <c r="H61" s="83"/>
      <c r="I61" s="80"/>
      <c r="J61" s="80"/>
    </row>
    <row r="62" spans="3:10" x14ac:dyDescent="0.25">
      <c r="C62" s="80"/>
      <c r="D62" s="80"/>
      <c r="E62" s="83"/>
      <c r="F62" s="83"/>
      <c r="G62" s="83"/>
      <c r="H62" s="83"/>
      <c r="I62" s="80"/>
      <c r="J62" s="80"/>
    </row>
    <row r="63" spans="3:10" x14ac:dyDescent="0.25">
      <c r="C63" s="80"/>
      <c r="D63" s="80"/>
      <c r="E63" s="83"/>
      <c r="F63" s="83"/>
      <c r="G63" s="83"/>
      <c r="H63" s="83"/>
      <c r="I63" s="80"/>
      <c r="J63" s="80"/>
    </row>
    <row r="64" spans="3:10" x14ac:dyDescent="0.25">
      <c r="C64" s="80"/>
      <c r="D64" s="80"/>
      <c r="E64" s="83"/>
      <c r="F64" s="83"/>
      <c r="G64" s="83"/>
      <c r="H64" s="83"/>
      <c r="I64" s="80"/>
      <c r="J64" s="80"/>
    </row>
    <row r="65" spans="3:10" x14ac:dyDescent="0.25">
      <c r="C65" s="80"/>
      <c r="D65" s="80"/>
      <c r="E65" s="83"/>
      <c r="F65" s="83"/>
      <c r="G65" s="83"/>
      <c r="H65" s="83"/>
      <c r="I65" s="80"/>
      <c r="J65" s="80"/>
    </row>
    <row r="66" spans="3:10" x14ac:dyDescent="0.25">
      <c r="C66" s="80"/>
      <c r="D66" s="80"/>
      <c r="E66" s="83"/>
      <c r="F66" s="83"/>
      <c r="G66" s="83"/>
      <c r="H66" s="83"/>
      <c r="I66" s="80"/>
      <c r="J66" s="80"/>
    </row>
    <row r="67" spans="3:10" x14ac:dyDescent="0.25">
      <c r="C67" s="80"/>
      <c r="D67" s="80"/>
      <c r="E67" s="83"/>
      <c r="F67" s="83"/>
      <c r="G67" s="83"/>
      <c r="H67" s="83"/>
      <c r="I67" s="80"/>
      <c r="J67" s="80"/>
    </row>
    <row r="68" spans="3:10" x14ac:dyDescent="0.25">
      <c r="C68" s="80"/>
      <c r="D68" s="80"/>
      <c r="E68" s="83"/>
      <c r="F68" s="83"/>
      <c r="G68" s="83"/>
      <c r="H68" s="83"/>
      <c r="I68" s="80"/>
      <c r="J68" s="80"/>
    </row>
    <row r="69" spans="3:10" x14ac:dyDescent="0.25">
      <c r="C69" s="80"/>
      <c r="D69" s="80"/>
      <c r="E69" s="83"/>
      <c r="F69" s="83"/>
      <c r="G69" s="83"/>
      <c r="H69" s="83"/>
      <c r="I69" s="80"/>
      <c r="J69" s="80"/>
    </row>
    <row r="70" spans="3:10" x14ac:dyDescent="0.25">
      <c r="C70" s="80"/>
      <c r="D70" s="80"/>
      <c r="E70" s="83"/>
      <c r="F70" s="83"/>
      <c r="G70" s="83"/>
      <c r="H70" s="83"/>
      <c r="I70" s="80"/>
      <c r="J70" s="80"/>
    </row>
    <row r="71" spans="3:10" x14ac:dyDescent="0.25">
      <c r="C71" s="80"/>
      <c r="D71" s="80"/>
      <c r="E71" s="83"/>
      <c r="F71" s="83"/>
      <c r="G71" s="83"/>
      <c r="H71" s="83"/>
      <c r="I71" s="80"/>
      <c r="J71" s="80"/>
    </row>
    <row r="72" spans="3:10" x14ac:dyDescent="0.25">
      <c r="C72" s="80"/>
      <c r="D72" s="80"/>
      <c r="E72" s="83"/>
      <c r="F72" s="83"/>
      <c r="G72" s="83"/>
      <c r="H72" s="83"/>
      <c r="I72" s="80"/>
      <c r="J72" s="80"/>
    </row>
    <row r="73" spans="3:10" x14ac:dyDescent="0.25">
      <c r="C73" s="80"/>
      <c r="D73" s="80"/>
      <c r="E73" s="83"/>
      <c r="F73" s="83"/>
      <c r="G73" s="83"/>
      <c r="H73" s="83"/>
      <c r="I73" s="80"/>
      <c r="J73" s="80"/>
    </row>
    <row r="74" spans="3:10" x14ac:dyDescent="0.25">
      <c r="C74" s="80"/>
      <c r="D74" s="80"/>
      <c r="E74" s="83"/>
      <c r="F74" s="83"/>
      <c r="G74" s="83"/>
      <c r="H74" s="83"/>
      <c r="I74" s="80"/>
      <c r="J74" s="80"/>
    </row>
    <row r="75" spans="3:10" x14ac:dyDescent="0.25">
      <c r="C75" s="80"/>
      <c r="D75" s="80"/>
      <c r="E75" s="83"/>
      <c r="F75" s="83"/>
      <c r="G75" s="83"/>
      <c r="H75" s="83"/>
      <c r="I75" s="80"/>
      <c r="J75" s="80"/>
    </row>
    <row r="76" spans="3:10" x14ac:dyDescent="0.25">
      <c r="C76" s="80"/>
      <c r="D76" s="80"/>
      <c r="E76" s="83"/>
      <c r="F76" s="83"/>
      <c r="G76" s="83"/>
      <c r="H76" s="83"/>
      <c r="I76" s="80"/>
      <c r="J76" s="80"/>
    </row>
    <row r="77" spans="3:10" x14ac:dyDescent="0.25">
      <c r="C77" s="80"/>
      <c r="D77" s="80"/>
      <c r="E77" s="83"/>
      <c r="F77" s="83"/>
      <c r="G77" s="83"/>
      <c r="H77" s="83"/>
      <c r="I77" s="80"/>
      <c r="J77" s="80"/>
    </row>
    <row r="78" spans="3:10" x14ac:dyDescent="0.25">
      <c r="C78" s="80"/>
      <c r="D78" s="80"/>
      <c r="E78" s="83"/>
      <c r="F78" s="83"/>
      <c r="G78" s="83"/>
      <c r="H78" s="83"/>
      <c r="I78" s="80"/>
      <c r="J78" s="80"/>
    </row>
    <row r="79" spans="3:10" x14ac:dyDescent="0.25">
      <c r="C79" s="80"/>
      <c r="D79" s="80"/>
      <c r="E79" s="83"/>
      <c r="F79" s="83"/>
      <c r="G79" s="83"/>
      <c r="H79" s="83"/>
      <c r="I79" s="80"/>
      <c r="J79" s="80"/>
    </row>
    <row r="80" spans="3:10" x14ac:dyDescent="0.25">
      <c r="C80" s="80"/>
      <c r="D80" s="80"/>
      <c r="E80" s="83"/>
      <c r="F80" s="83"/>
      <c r="G80" s="83"/>
      <c r="H80" s="83"/>
      <c r="I80" s="80"/>
      <c r="J80" s="80"/>
    </row>
    <row r="81" spans="3:10" x14ac:dyDescent="0.25">
      <c r="C81" s="80"/>
      <c r="D81" s="80"/>
      <c r="E81" s="83"/>
      <c r="F81" s="83"/>
      <c r="G81" s="83"/>
      <c r="H81" s="83"/>
      <c r="I81" s="80"/>
      <c r="J81" s="80"/>
    </row>
    <row r="82" spans="3:10" x14ac:dyDescent="0.25">
      <c r="C82" s="80"/>
      <c r="D82" s="80"/>
      <c r="E82" s="83"/>
      <c r="F82" s="83"/>
      <c r="G82" s="83"/>
      <c r="H82" s="83"/>
      <c r="I82" s="80"/>
      <c r="J82" s="80"/>
    </row>
    <row r="83" spans="3:10" x14ac:dyDescent="0.25">
      <c r="C83" s="80"/>
      <c r="D83" s="80"/>
      <c r="E83" s="83"/>
      <c r="F83" s="83"/>
      <c r="G83" s="83"/>
      <c r="H83" s="83"/>
      <c r="I83" s="80"/>
      <c r="J83" s="80"/>
    </row>
    <row r="84" spans="3:10" x14ac:dyDescent="0.25">
      <c r="C84" s="80"/>
      <c r="D84" s="80"/>
      <c r="E84" s="83"/>
      <c r="F84" s="83"/>
      <c r="G84" s="83"/>
      <c r="H84" s="83"/>
      <c r="I84" s="80"/>
      <c r="J84" s="80"/>
    </row>
    <row r="85" spans="3:10" x14ac:dyDescent="0.25">
      <c r="C85" s="80"/>
      <c r="D85" s="80"/>
      <c r="E85" s="83"/>
      <c r="F85" s="83"/>
      <c r="G85" s="83"/>
      <c r="H85" s="83"/>
      <c r="I85" s="80"/>
      <c r="J85" s="80"/>
    </row>
    <row r="86" spans="3:10" x14ac:dyDescent="0.25">
      <c r="C86" s="80"/>
      <c r="D86" s="80"/>
      <c r="E86" s="83"/>
      <c r="F86" s="83"/>
      <c r="G86" s="83"/>
      <c r="H86" s="83"/>
      <c r="I86" s="80"/>
      <c r="J86" s="80"/>
    </row>
    <row r="87" spans="3:10" x14ac:dyDescent="0.25">
      <c r="C87" s="80"/>
      <c r="D87" s="80"/>
      <c r="E87" s="83"/>
      <c r="F87" s="83"/>
      <c r="G87" s="83"/>
      <c r="H87" s="83"/>
      <c r="I87" s="80"/>
      <c r="J87" s="80"/>
    </row>
    <row r="88" spans="3:10" x14ac:dyDescent="0.25">
      <c r="C88" s="80"/>
      <c r="D88" s="80"/>
      <c r="E88" s="83"/>
      <c r="F88" s="83"/>
      <c r="G88" s="83"/>
      <c r="H88" s="83"/>
      <c r="I88" s="80"/>
      <c r="J88" s="80"/>
    </row>
    <row r="89" spans="3:10" x14ac:dyDescent="0.25">
      <c r="C89" s="80"/>
      <c r="D89" s="80"/>
      <c r="E89" s="83"/>
      <c r="F89" s="83"/>
      <c r="G89" s="83"/>
      <c r="H89" s="83"/>
      <c r="I89" s="80"/>
      <c r="J89" s="80"/>
    </row>
    <row r="90" spans="3:10" x14ac:dyDescent="0.25">
      <c r="C90" s="80"/>
      <c r="D90" s="80"/>
      <c r="E90" s="83"/>
      <c r="F90" s="83"/>
      <c r="G90" s="83"/>
      <c r="H90" s="83"/>
      <c r="I90" s="80"/>
      <c r="J90" s="80"/>
    </row>
    <row r="91" spans="3:10" x14ac:dyDescent="0.25">
      <c r="C91" s="80"/>
      <c r="D91" s="80"/>
      <c r="E91" s="83"/>
      <c r="F91" s="83"/>
      <c r="G91" s="83"/>
      <c r="H91" s="83"/>
      <c r="I91" s="80"/>
      <c r="J91" s="80"/>
    </row>
    <row r="92" spans="3:10" x14ac:dyDescent="0.25">
      <c r="C92" s="80"/>
      <c r="D92" s="80"/>
      <c r="E92" s="83"/>
      <c r="F92" s="83"/>
      <c r="G92" s="83"/>
      <c r="H92" s="83"/>
      <c r="I92" s="80"/>
      <c r="J92" s="80"/>
    </row>
    <row r="93" spans="3:10" x14ac:dyDescent="0.25">
      <c r="C93" s="80"/>
      <c r="D93" s="80"/>
      <c r="E93" s="83"/>
      <c r="F93" s="83"/>
      <c r="G93" s="83"/>
      <c r="H93" s="83"/>
      <c r="I93" s="80"/>
      <c r="J93" s="80"/>
    </row>
    <row r="94" spans="3:10" x14ac:dyDescent="0.25">
      <c r="C94" s="80"/>
      <c r="D94" s="80"/>
      <c r="E94" s="83"/>
      <c r="F94" s="83"/>
      <c r="G94" s="83"/>
      <c r="H94" s="83"/>
      <c r="I94" s="80"/>
      <c r="J94" s="80"/>
    </row>
    <row r="95" spans="3:10" x14ac:dyDescent="0.25">
      <c r="C95" s="80"/>
      <c r="D95" s="80"/>
      <c r="E95" s="83"/>
      <c r="F95" s="83"/>
      <c r="G95" s="83"/>
      <c r="H95" s="83"/>
      <c r="I95" s="80"/>
      <c r="J95" s="80"/>
    </row>
    <row r="96" spans="3:10" x14ac:dyDescent="0.25">
      <c r="C96" s="80"/>
      <c r="D96" s="80"/>
      <c r="E96" s="83"/>
      <c r="F96" s="83"/>
      <c r="G96" s="83"/>
      <c r="H96" s="83"/>
      <c r="I96" s="80"/>
      <c r="J96" s="80"/>
    </row>
    <row r="97" spans="3:10" x14ac:dyDescent="0.25">
      <c r="C97" s="80"/>
      <c r="D97" s="80"/>
      <c r="E97" s="83"/>
      <c r="F97" s="83"/>
      <c r="G97" s="83"/>
      <c r="H97" s="83"/>
      <c r="I97" s="80"/>
      <c r="J97" s="80"/>
    </row>
    <row r="98" spans="3:10" x14ac:dyDescent="0.25">
      <c r="C98" s="80"/>
      <c r="D98" s="80"/>
      <c r="E98" s="83"/>
      <c r="F98" s="83"/>
      <c r="G98" s="83"/>
      <c r="H98" s="83"/>
      <c r="I98" s="80"/>
      <c r="J98" s="80"/>
    </row>
    <row r="99" spans="3:10" x14ac:dyDescent="0.25">
      <c r="C99" s="80"/>
      <c r="D99" s="80"/>
      <c r="E99" s="83"/>
      <c r="F99" s="83"/>
      <c r="G99" s="83"/>
      <c r="H99" s="83"/>
      <c r="I99" s="80"/>
      <c r="J99" s="80"/>
    </row>
    <row r="100" spans="3:10" x14ac:dyDescent="0.25">
      <c r="C100" s="80"/>
      <c r="D100" s="80"/>
      <c r="E100" s="83"/>
      <c r="F100" s="83"/>
      <c r="G100" s="83"/>
      <c r="H100" s="83"/>
      <c r="I100" s="80"/>
      <c r="J100" s="80"/>
    </row>
    <row r="101" spans="3:10" x14ac:dyDescent="0.25">
      <c r="C101" s="80"/>
      <c r="D101" s="80"/>
      <c r="E101" s="83"/>
      <c r="F101" s="83"/>
      <c r="G101" s="83"/>
      <c r="H101" s="83"/>
      <c r="I101" s="80"/>
      <c r="J101" s="80"/>
    </row>
    <row r="102" spans="3:10" x14ac:dyDescent="0.25">
      <c r="C102" s="80"/>
      <c r="D102" s="80"/>
      <c r="E102" s="83"/>
      <c r="F102" s="83"/>
      <c r="G102" s="83"/>
      <c r="H102" s="83"/>
      <c r="I102" s="80"/>
      <c r="J102" s="80"/>
    </row>
    <row r="103" spans="3:10" x14ac:dyDescent="0.25">
      <c r="C103" s="80"/>
      <c r="D103" s="80"/>
      <c r="E103" s="83"/>
      <c r="F103" s="83"/>
      <c r="G103" s="83"/>
      <c r="H103" s="83"/>
      <c r="I103" s="80"/>
      <c r="J103" s="80"/>
    </row>
    <row r="104" spans="3:10" x14ac:dyDescent="0.25">
      <c r="C104" s="80"/>
      <c r="D104" s="80"/>
      <c r="E104" s="83"/>
      <c r="F104" s="83"/>
      <c r="G104" s="83"/>
      <c r="H104" s="83"/>
      <c r="I104" s="80"/>
      <c r="J104" s="80"/>
    </row>
    <row r="105" spans="3:10" x14ac:dyDescent="0.25">
      <c r="C105" s="80"/>
      <c r="D105" s="80"/>
      <c r="E105" s="83"/>
      <c r="F105" s="83"/>
      <c r="G105" s="83"/>
      <c r="H105" s="83"/>
      <c r="I105" s="80"/>
      <c r="J105" s="80"/>
    </row>
    <row r="106" spans="3:10" x14ac:dyDescent="0.25">
      <c r="C106" s="80"/>
      <c r="D106" s="80"/>
      <c r="E106" s="83"/>
      <c r="F106" s="83"/>
      <c r="G106" s="83"/>
      <c r="H106" s="83"/>
      <c r="I106" s="80"/>
      <c r="J106" s="80"/>
    </row>
    <row r="107" spans="3:10" x14ac:dyDescent="0.25">
      <c r="C107" s="80"/>
      <c r="D107" s="80"/>
      <c r="E107" s="83"/>
      <c r="F107" s="83"/>
      <c r="G107" s="83"/>
      <c r="H107" s="83"/>
      <c r="I107" s="80"/>
      <c r="J107" s="80"/>
    </row>
    <row r="108" spans="3:10" x14ac:dyDescent="0.25">
      <c r="C108" s="80"/>
      <c r="D108" s="80"/>
      <c r="E108" s="83"/>
      <c r="F108" s="83"/>
      <c r="G108" s="83"/>
      <c r="H108" s="83"/>
      <c r="I108" s="80"/>
      <c r="J108" s="80"/>
    </row>
    <row r="109" spans="3:10" x14ac:dyDescent="0.25">
      <c r="C109" s="80"/>
      <c r="D109" s="80"/>
      <c r="E109" s="83"/>
      <c r="F109" s="83"/>
      <c r="G109" s="83"/>
      <c r="H109" s="83"/>
      <c r="I109" s="80"/>
      <c r="J109" s="80"/>
    </row>
    <row r="110" spans="3:10" x14ac:dyDescent="0.25">
      <c r="C110" s="80"/>
      <c r="D110" s="80"/>
      <c r="E110" s="83"/>
      <c r="F110" s="83"/>
      <c r="G110" s="83"/>
      <c r="H110" s="83"/>
      <c r="I110" s="80"/>
      <c r="J110" s="80"/>
    </row>
    <row r="111" spans="3:10" x14ac:dyDescent="0.25">
      <c r="C111" s="80"/>
      <c r="D111" s="80"/>
      <c r="E111" s="83"/>
      <c r="F111" s="83"/>
      <c r="G111" s="83"/>
      <c r="H111" s="83"/>
      <c r="I111" s="80"/>
      <c r="J111" s="80"/>
    </row>
    <row r="112" spans="3:10" x14ac:dyDescent="0.25">
      <c r="C112" s="80"/>
      <c r="D112" s="80"/>
      <c r="E112" s="83"/>
      <c r="F112" s="83"/>
      <c r="G112" s="83"/>
      <c r="H112" s="83"/>
      <c r="I112" s="80"/>
      <c r="J112" s="80"/>
    </row>
    <row r="113" spans="3:10" x14ac:dyDescent="0.25">
      <c r="C113" s="80"/>
      <c r="D113" s="80"/>
      <c r="E113" s="83"/>
      <c r="F113" s="83"/>
      <c r="G113" s="83"/>
      <c r="H113" s="83"/>
      <c r="I113" s="80"/>
      <c r="J113" s="80"/>
    </row>
    <row r="114" spans="3:10" x14ac:dyDescent="0.25">
      <c r="C114" s="80"/>
      <c r="D114" s="80"/>
      <c r="E114" s="83"/>
      <c r="F114" s="83"/>
      <c r="G114" s="83"/>
      <c r="H114" s="83"/>
      <c r="I114" s="80"/>
      <c r="J114" s="80"/>
    </row>
  </sheetData>
  <sheetProtection password="CECE" sheet="1" objects="1" scenarios="1"/>
  <protectedRanges>
    <protectedRange password="CECE" sqref="F15:G22" name="Område1"/>
  </protectedRanges>
  <mergeCells count="15">
    <mergeCell ref="D43:H43"/>
    <mergeCell ref="C2:I2"/>
    <mergeCell ref="D39:H39"/>
    <mergeCell ref="D40:H40"/>
    <mergeCell ref="D41:H41"/>
    <mergeCell ref="D42:H42"/>
    <mergeCell ref="C3:J5"/>
    <mergeCell ref="C8:I8"/>
    <mergeCell ref="C9:I9"/>
    <mergeCell ref="C7:I7"/>
    <mergeCell ref="C23:G23"/>
    <mergeCell ref="C13:I13"/>
    <mergeCell ref="C10:I10"/>
    <mergeCell ref="C11:I11"/>
    <mergeCell ref="C24:H24"/>
  </mergeCells>
  <pageMargins left="0.7" right="0.7" top="0.75" bottom="0.75" header="0.3" footer="0.3"/>
  <pageSetup paperSize="9" orientation="portrait" r:id="rId1"/>
  <ignoredErrors>
    <ignoredError sqref="E30:H35 F37:H37 E36 G36:H36" numberStoredAsText="1"/>
    <ignoredError sqref="F36 E37"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9CBF8-8AD5-445B-A4F7-3C2E0E8F3AC0}">
  <dimension ref="A1:AT116"/>
  <sheetViews>
    <sheetView tabSelected="1" topLeftCell="A7" workbookViewId="0">
      <selection activeCell="F48" sqref="F10:F48"/>
    </sheetView>
  </sheetViews>
  <sheetFormatPr baseColWidth="10" defaultRowHeight="15" x14ac:dyDescent="0.25"/>
  <cols>
    <col min="1" max="1" width="4.85546875" style="80" customWidth="1"/>
    <col min="2" max="2" width="25.7109375" customWidth="1"/>
    <col min="3" max="3" width="21.42578125" customWidth="1"/>
    <col min="4" max="4" width="14.28515625" customWidth="1"/>
    <col min="5" max="20" width="12.7109375" customWidth="1"/>
    <col min="21" max="46" width="11.42578125" style="80"/>
  </cols>
  <sheetData>
    <row r="1" spans="2:46" ht="23.25" x14ac:dyDescent="0.35">
      <c r="B1" s="131" t="s">
        <v>80</v>
      </c>
      <c r="C1" s="132"/>
      <c r="D1" s="132"/>
      <c r="E1" s="80"/>
      <c r="F1" s="80"/>
      <c r="G1" s="80"/>
      <c r="H1" s="80"/>
      <c r="I1" s="80"/>
      <c r="J1" s="80"/>
      <c r="K1" s="80"/>
      <c r="L1" s="80"/>
      <c r="M1" s="80"/>
      <c r="N1" s="80"/>
      <c r="O1" s="80"/>
      <c r="P1" s="80"/>
      <c r="Q1" s="80"/>
      <c r="R1" s="80"/>
      <c r="S1" s="80"/>
      <c r="T1" s="80"/>
      <c r="AF1"/>
      <c r="AG1"/>
      <c r="AH1"/>
      <c r="AI1"/>
      <c r="AJ1"/>
      <c r="AK1"/>
      <c r="AL1"/>
      <c r="AM1"/>
      <c r="AN1"/>
      <c r="AO1"/>
      <c r="AP1"/>
      <c r="AQ1"/>
      <c r="AR1"/>
      <c r="AS1"/>
      <c r="AT1"/>
    </row>
    <row r="2" spans="2:46" x14ac:dyDescent="0.25">
      <c r="B2" s="257" t="s">
        <v>81</v>
      </c>
      <c r="C2" s="257"/>
      <c r="D2" s="257"/>
      <c r="E2" s="257"/>
      <c r="F2" s="257"/>
      <c r="G2" s="257"/>
      <c r="H2" s="80"/>
      <c r="I2" s="80"/>
      <c r="J2" s="80"/>
      <c r="K2" s="80"/>
      <c r="L2" s="80"/>
      <c r="M2" s="80"/>
      <c r="N2" s="80"/>
      <c r="O2" s="80"/>
      <c r="P2" s="80"/>
      <c r="Q2" s="80"/>
      <c r="R2" s="80"/>
      <c r="S2" s="80"/>
      <c r="T2" s="80"/>
      <c r="AF2"/>
      <c r="AG2"/>
      <c r="AH2"/>
      <c r="AI2"/>
      <c r="AJ2"/>
      <c r="AK2"/>
      <c r="AL2"/>
      <c r="AM2"/>
      <c r="AN2"/>
      <c r="AO2"/>
      <c r="AP2"/>
      <c r="AQ2"/>
      <c r="AR2"/>
      <c r="AS2"/>
      <c r="AT2"/>
    </row>
    <row r="3" spans="2:46" x14ac:dyDescent="0.25">
      <c r="B3" s="257"/>
      <c r="C3" s="257"/>
      <c r="D3" s="257"/>
      <c r="E3" s="257"/>
      <c r="F3" s="257"/>
      <c r="G3" s="257"/>
      <c r="H3" s="80"/>
      <c r="I3" s="80"/>
      <c r="J3" s="80"/>
      <c r="K3" s="80"/>
      <c r="L3" s="80"/>
      <c r="M3" s="80"/>
      <c r="N3" s="80"/>
      <c r="O3" s="80"/>
      <c r="P3" s="80"/>
      <c r="Q3" s="80"/>
      <c r="R3" s="80"/>
      <c r="S3" s="80"/>
      <c r="T3" s="80"/>
      <c r="AF3"/>
      <c r="AG3"/>
      <c r="AH3"/>
      <c r="AI3"/>
      <c r="AJ3"/>
      <c r="AK3"/>
      <c r="AL3"/>
      <c r="AM3"/>
      <c r="AN3"/>
      <c r="AO3"/>
      <c r="AP3"/>
      <c r="AQ3"/>
      <c r="AR3"/>
      <c r="AS3"/>
      <c r="AT3"/>
    </row>
    <row r="4" spans="2:46" x14ac:dyDescent="0.25">
      <c r="B4" s="257"/>
      <c r="C4" s="257"/>
      <c r="D4" s="257"/>
      <c r="E4" s="257"/>
      <c r="F4" s="257"/>
      <c r="G4" s="257"/>
      <c r="H4" s="80"/>
      <c r="I4" s="80"/>
      <c r="J4" s="80"/>
      <c r="K4" s="80"/>
      <c r="L4" s="80"/>
      <c r="M4" s="80"/>
      <c r="N4" s="80"/>
      <c r="O4" s="80"/>
      <c r="P4" s="80"/>
      <c r="Q4" s="80"/>
      <c r="R4" s="80"/>
      <c r="S4" s="80"/>
      <c r="T4" s="80"/>
      <c r="AF4"/>
      <c r="AG4"/>
      <c r="AH4"/>
      <c r="AI4"/>
      <c r="AJ4"/>
      <c r="AK4"/>
      <c r="AL4"/>
      <c r="AM4"/>
      <c r="AN4"/>
      <c r="AO4"/>
      <c r="AP4"/>
      <c r="AQ4"/>
      <c r="AR4"/>
      <c r="AS4"/>
      <c r="AT4"/>
    </row>
    <row r="5" spans="2:46" x14ac:dyDescent="0.25">
      <c r="B5" s="257"/>
      <c r="C5" s="257"/>
      <c r="D5" s="257"/>
      <c r="E5" s="257"/>
      <c r="F5" s="257"/>
      <c r="G5" s="257"/>
      <c r="H5" s="80"/>
      <c r="I5" s="80"/>
      <c r="J5" s="80"/>
      <c r="K5" s="80"/>
      <c r="L5" s="80"/>
      <c r="M5" s="80"/>
      <c r="N5" s="80"/>
      <c r="O5" s="80"/>
      <c r="P5" s="80"/>
      <c r="Q5" s="80"/>
      <c r="R5" s="80"/>
      <c r="S5" s="80"/>
      <c r="T5" s="80"/>
      <c r="AF5"/>
      <c r="AG5"/>
      <c r="AH5"/>
      <c r="AI5"/>
      <c r="AJ5"/>
      <c r="AK5"/>
      <c r="AL5"/>
      <c r="AM5"/>
      <c r="AN5"/>
      <c r="AO5"/>
      <c r="AP5"/>
      <c r="AQ5"/>
      <c r="AR5"/>
      <c r="AS5"/>
      <c r="AT5"/>
    </row>
    <row r="6" spans="2:46" x14ac:dyDescent="0.25">
      <c r="B6" s="257"/>
      <c r="C6" s="257"/>
      <c r="D6" s="257"/>
      <c r="E6" s="257"/>
      <c r="F6" s="257"/>
      <c r="G6" s="257"/>
      <c r="H6" s="80"/>
      <c r="I6" s="132"/>
      <c r="J6" s="132"/>
      <c r="K6" s="132"/>
      <c r="L6" s="80"/>
      <c r="M6" s="80"/>
      <c r="N6" s="80"/>
      <c r="O6" s="80"/>
      <c r="P6" s="80"/>
      <c r="Q6" s="80"/>
      <c r="R6" s="80"/>
      <c r="S6" s="80"/>
      <c r="T6" s="80"/>
      <c r="AF6"/>
      <c r="AG6"/>
      <c r="AH6"/>
      <c r="AI6"/>
      <c r="AJ6"/>
      <c r="AK6"/>
      <c r="AL6"/>
      <c r="AM6"/>
      <c r="AN6"/>
      <c r="AO6"/>
      <c r="AP6"/>
      <c r="AQ6"/>
      <c r="AR6"/>
      <c r="AS6"/>
      <c r="AT6"/>
    </row>
    <row r="7" spans="2:46" x14ac:dyDescent="0.25">
      <c r="B7" s="133"/>
      <c r="C7" s="133"/>
      <c r="D7" s="133"/>
      <c r="E7" s="133"/>
      <c r="F7" s="133"/>
      <c r="G7" s="133"/>
      <c r="H7" s="80"/>
      <c r="I7" s="132"/>
      <c r="J7" s="132"/>
      <c r="K7" s="132"/>
      <c r="L7" s="80"/>
      <c r="M7" s="80"/>
      <c r="N7" s="80"/>
      <c r="O7" s="80"/>
      <c r="P7" s="80"/>
      <c r="Q7" s="80"/>
      <c r="R7" s="80"/>
      <c r="S7" s="80"/>
      <c r="T7" s="80"/>
      <c r="AF7"/>
      <c r="AG7"/>
      <c r="AH7"/>
      <c r="AI7"/>
      <c r="AJ7"/>
      <c r="AK7"/>
      <c r="AL7"/>
      <c r="AM7"/>
      <c r="AN7"/>
      <c r="AO7"/>
      <c r="AP7"/>
      <c r="AQ7"/>
      <c r="AR7"/>
      <c r="AS7"/>
      <c r="AT7"/>
    </row>
    <row r="8" spans="2:46" x14ac:dyDescent="0.25">
      <c r="B8" s="134" t="s">
        <v>82</v>
      </c>
      <c r="C8" s="135"/>
      <c r="D8" s="135"/>
      <c r="E8" s="135"/>
      <c r="F8" s="135"/>
      <c r="G8" s="135"/>
      <c r="H8" s="80"/>
      <c r="I8" s="132"/>
      <c r="J8" s="132"/>
      <c r="K8" s="132"/>
      <c r="L8" s="80"/>
      <c r="M8" s="80"/>
      <c r="N8" s="80"/>
      <c r="O8" s="80"/>
      <c r="P8" s="80"/>
      <c r="Q8" s="80"/>
      <c r="R8" s="80"/>
      <c r="S8" s="80"/>
      <c r="T8" s="80"/>
      <c r="AF8"/>
      <c r="AG8"/>
      <c r="AH8"/>
      <c r="AI8"/>
      <c r="AJ8"/>
      <c r="AK8"/>
      <c r="AL8"/>
      <c r="AM8"/>
      <c r="AN8"/>
      <c r="AO8"/>
      <c r="AP8"/>
      <c r="AQ8"/>
      <c r="AR8"/>
      <c r="AS8"/>
      <c r="AT8"/>
    </row>
    <row r="9" spans="2:46" ht="30" x14ac:dyDescent="0.25">
      <c r="B9" s="136" t="s">
        <v>40</v>
      </c>
      <c r="C9" s="136" t="s">
        <v>83</v>
      </c>
      <c r="D9" s="137"/>
      <c r="E9" s="138" t="s">
        <v>84</v>
      </c>
      <c r="F9" s="138" t="s">
        <v>50</v>
      </c>
      <c r="G9" s="136" t="s">
        <v>85</v>
      </c>
      <c r="H9" s="87"/>
      <c r="I9" s="258" t="s">
        <v>49</v>
      </c>
      <c r="J9" s="258"/>
      <c r="K9" s="258"/>
      <c r="L9" s="87"/>
      <c r="M9" s="87"/>
      <c r="N9" s="87"/>
      <c r="O9" s="87"/>
      <c r="P9" s="87"/>
      <c r="Q9" s="80"/>
      <c r="R9" s="80"/>
      <c r="S9" s="80"/>
      <c r="T9" s="80"/>
      <c r="AF9"/>
      <c r="AG9"/>
      <c r="AH9"/>
      <c r="AI9"/>
      <c r="AJ9"/>
      <c r="AK9"/>
      <c r="AL9"/>
      <c r="AM9"/>
      <c r="AN9"/>
      <c r="AO9"/>
      <c r="AP9"/>
      <c r="AQ9"/>
      <c r="AR9"/>
      <c r="AS9"/>
      <c r="AT9"/>
    </row>
    <row r="10" spans="2:46" x14ac:dyDescent="0.25">
      <c r="B10" s="239" t="s">
        <v>86</v>
      </c>
      <c r="C10" s="139" t="s">
        <v>87</v>
      </c>
      <c r="D10" s="139" t="s">
        <v>88</v>
      </c>
      <c r="E10" s="140">
        <v>1</v>
      </c>
      <c r="F10" s="141"/>
      <c r="G10" s="142">
        <f t="shared" ref="G10:G48" si="0">F10*E10</f>
        <v>0</v>
      </c>
      <c r="H10" s="80"/>
      <c r="I10" s="80"/>
      <c r="J10" s="80"/>
      <c r="K10" s="80"/>
      <c r="L10" s="80"/>
      <c r="M10" s="80"/>
      <c r="N10" s="80"/>
      <c r="O10" s="80"/>
      <c r="P10" s="80"/>
      <c r="Q10" s="80"/>
      <c r="R10" s="80"/>
      <c r="S10" s="80"/>
      <c r="T10" s="80"/>
      <c r="AF10"/>
      <c r="AG10"/>
      <c r="AH10"/>
      <c r="AI10"/>
      <c r="AJ10"/>
      <c r="AK10"/>
      <c r="AL10"/>
      <c r="AM10"/>
      <c r="AN10"/>
      <c r="AO10"/>
      <c r="AP10"/>
      <c r="AQ10"/>
      <c r="AR10"/>
      <c r="AS10"/>
      <c r="AT10"/>
    </row>
    <row r="11" spans="2:46" x14ac:dyDescent="0.25">
      <c r="B11" s="240"/>
      <c r="C11" s="139" t="s">
        <v>89</v>
      </c>
      <c r="D11" s="139" t="s">
        <v>90</v>
      </c>
      <c r="E11" s="140">
        <v>1</v>
      </c>
      <c r="F11" s="141"/>
      <c r="G11" s="142">
        <f t="shared" si="0"/>
        <v>0</v>
      </c>
      <c r="H11" s="143" t="s">
        <v>91</v>
      </c>
      <c r="I11" s="80" t="s">
        <v>92</v>
      </c>
      <c r="J11" s="80"/>
      <c r="K11" s="80"/>
      <c r="L11" s="80"/>
      <c r="M11" s="80"/>
      <c r="N11" s="80"/>
      <c r="O11" s="80"/>
      <c r="P11" s="80"/>
      <c r="Q11" s="80"/>
      <c r="R11" s="80"/>
      <c r="S11" s="80"/>
      <c r="T11" s="80"/>
      <c r="AF11"/>
      <c r="AG11"/>
      <c r="AH11"/>
      <c r="AI11"/>
      <c r="AJ11"/>
      <c r="AK11"/>
      <c r="AL11"/>
      <c r="AM11"/>
      <c r="AN11"/>
      <c r="AO11"/>
      <c r="AP11"/>
      <c r="AQ11"/>
      <c r="AR11"/>
      <c r="AS11"/>
      <c r="AT11"/>
    </row>
    <row r="12" spans="2:46" x14ac:dyDescent="0.25">
      <c r="B12" s="240"/>
      <c r="C12" s="144" t="s">
        <v>93</v>
      </c>
      <c r="D12" s="144" t="s">
        <v>94</v>
      </c>
      <c r="E12" s="145">
        <v>1</v>
      </c>
      <c r="F12" s="141"/>
      <c r="G12" s="142">
        <f t="shared" si="0"/>
        <v>0</v>
      </c>
      <c r="H12" s="143"/>
      <c r="I12" s="146"/>
      <c r="J12" s="80"/>
      <c r="K12" s="80"/>
      <c r="L12" s="80"/>
      <c r="M12" s="80"/>
      <c r="N12" s="80"/>
      <c r="O12" s="80"/>
      <c r="P12" s="80"/>
      <c r="Q12" s="80"/>
      <c r="R12" s="80"/>
      <c r="S12" s="80"/>
      <c r="T12" s="80"/>
      <c r="AF12"/>
      <c r="AG12"/>
      <c r="AH12"/>
      <c r="AI12"/>
      <c r="AJ12"/>
      <c r="AK12"/>
      <c r="AL12"/>
      <c r="AM12"/>
      <c r="AN12"/>
      <c r="AO12"/>
      <c r="AP12"/>
      <c r="AQ12"/>
      <c r="AR12"/>
      <c r="AS12"/>
      <c r="AT12"/>
    </row>
    <row r="13" spans="2:46" x14ac:dyDescent="0.25">
      <c r="B13" s="240"/>
      <c r="C13" s="139" t="s">
        <v>95</v>
      </c>
      <c r="D13" s="139" t="s">
        <v>96</v>
      </c>
      <c r="E13" s="140">
        <v>1</v>
      </c>
      <c r="F13" s="141"/>
      <c r="G13" s="142">
        <f t="shared" si="0"/>
        <v>0</v>
      </c>
      <c r="H13" s="143" t="s">
        <v>97</v>
      </c>
      <c r="I13" s="80" t="s">
        <v>98</v>
      </c>
      <c r="J13" s="80"/>
      <c r="K13" s="80"/>
      <c r="L13" s="80"/>
      <c r="M13" s="80"/>
      <c r="N13" s="80"/>
      <c r="O13" s="80"/>
      <c r="P13" s="80"/>
      <c r="Q13" s="80"/>
      <c r="R13" s="80"/>
      <c r="S13" s="80"/>
      <c r="T13" s="80"/>
      <c r="AF13"/>
      <c r="AG13"/>
      <c r="AH13"/>
      <c r="AI13"/>
      <c r="AJ13"/>
      <c r="AK13"/>
      <c r="AL13"/>
      <c r="AM13"/>
      <c r="AN13"/>
      <c r="AO13"/>
      <c r="AP13"/>
      <c r="AQ13"/>
      <c r="AR13"/>
      <c r="AS13"/>
      <c r="AT13"/>
    </row>
    <row r="14" spans="2:46" x14ac:dyDescent="0.25">
      <c r="B14" s="240"/>
      <c r="C14" s="139" t="s">
        <v>99</v>
      </c>
      <c r="D14" s="139" t="s">
        <v>100</v>
      </c>
      <c r="E14" s="140">
        <v>1</v>
      </c>
      <c r="F14" s="141"/>
      <c r="G14" s="142">
        <f t="shared" si="0"/>
        <v>0</v>
      </c>
      <c r="H14" s="80"/>
      <c r="I14" s="80"/>
      <c r="J14" s="80"/>
      <c r="K14" s="80"/>
      <c r="L14" s="80"/>
      <c r="M14" s="80"/>
      <c r="N14" s="80"/>
      <c r="O14" s="80"/>
      <c r="P14" s="80"/>
      <c r="Q14" s="80"/>
      <c r="R14" s="80"/>
      <c r="S14" s="80"/>
      <c r="T14" s="80"/>
      <c r="AF14"/>
      <c r="AG14"/>
      <c r="AH14"/>
      <c r="AI14"/>
      <c r="AJ14"/>
      <c r="AK14"/>
      <c r="AL14"/>
      <c r="AM14"/>
      <c r="AN14"/>
      <c r="AO14"/>
      <c r="AP14"/>
      <c r="AQ14"/>
      <c r="AR14"/>
      <c r="AS14"/>
      <c r="AT14"/>
    </row>
    <row r="15" spans="2:46" x14ac:dyDescent="0.25">
      <c r="B15" s="240"/>
      <c r="C15" s="147" t="s">
        <v>101</v>
      </c>
      <c r="D15" s="147" t="s">
        <v>86</v>
      </c>
      <c r="E15" s="140">
        <v>3</v>
      </c>
      <c r="F15" s="141"/>
      <c r="G15" s="142">
        <f t="shared" si="0"/>
        <v>0</v>
      </c>
      <c r="H15" s="143" t="s">
        <v>102</v>
      </c>
      <c r="I15" s="80" t="s">
        <v>103</v>
      </c>
      <c r="J15" s="80"/>
      <c r="K15" s="80"/>
      <c r="L15" s="80"/>
      <c r="M15" s="80"/>
      <c r="N15" s="80"/>
      <c r="O15" s="80"/>
      <c r="P15" s="80"/>
      <c r="Q15" s="80"/>
      <c r="R15" s="80"/>
      <c r="S15" s="80"/>
      <c r="T15" s="80"/>
      <c r="AF15"/>
      <c r="AG15"/>
      <c r="AH15"/>
      <c r="AI15"/>
      <c r="AJ15"/>
      <c r="AK15"/>
      <c r="AL15"/>
      <c r="AM15"/>
      <c r="AN15"/>
      <c r="AO15"/>
      <c r="AP15"/>
      <c r="AQ15"/>
      <c r="AR15"/>
      <c r="AS15"/>
      <c r="AT15"/>
    </row>
    <row r="16" spans="2:46" x14ac:dyDescent="0.25">
      <c r="B16" s="242" t="s">
        <v>104</v>
      </c>
      <c r="C16" s="144" t="s">
        <v>87</v>
      </c>
      <c r="D16" s="144" t="s">
        <v>104</v>
      </c>
      <c r="E16" s="148">
        <v>1.6</v>
      </c>
      <c r="F16" s="149"/>
      <c r="G16" s="142">
        <f t="shared" si="0"/>
        <v>0</v>
      </c>
      <c r="H16" s="80"/>
      <c r="I16" s="80"/>
      <c r="J16" s="80"/>
      <c r="K16" s="80"/>
      <c r="L16" s="80"/>
      <c r="M16" s="80"/>
      <c r="N16" s="80"/>
      <c r="O16" s="80"/>
      <c r="P16" s="80"/>
      <c r="Q16" s="80"/>
      <c r="R16" s="80"/>
      <c r="S16" s="80"/>
      <c r="T16" s="80"/>
      <c r="AF16"/>
      <c r="AG16"/>
      <c r="AH16"/>
      <c r="AI16"/>
      <c r="AJ16"/>
      <c r="AK16"/>
      <c r="AL16"/>
      <c r="AM16"/>
      <c r="AN16"/>
      <c r="AO16"/>
      <c r="AP16"/>
      <c r="AQ16"/>
      <c r="AR16"/>
      <c r="AS16"/>
      <c r="AT16"/>
    </row>
    <row r="17" spans="2:46" x14ac:dyDescent="0.25">
      <c r="B17" s="244"/>
      <c r="C17" s="139" t="s">
        <v>89</v>
      </c>
      <c r="D17" s="139" t="s">
        <v>105</v>
      </c>
      <c r="E17" s="140">
        <v>1.6</v>
      </c>
      <c r="F17" s="141"/>
      <c r="G17" s="142">
        <f t="shared" si="0"/>
        <v>0</v>
      </c>
      <c r="H17" s="143" t="s">
        <v>106</v>
      </c>
      <c r="I17" s="80" t="s">
        <v>107</v>
      </c>
      <c r="J17" s="80"/>
      <c r="K17" s="80"/>
      <c r="L17" s="80"/>
      <c r="M17" s="80"/>
      <c r="N17" s="80"/>
      <c r="O17" s="80"/>
      <c r="P17" s="80"/>
      <c r="Q17" s="80"/>
      <c r="R17" s="80"/>
      <c r="S17" s="80"/>
      <c r="T17" s="80"/>
      <c r="AF17"/>
      <c r="AG17"/>
      <c r="AH17"/>
      <c r="AI17"/>
      <c r="AJ17"/>
      <c r="AK17"/>
      <c r="AL17"/>
      <c r="AM17"/>
      <c r="AN17"/>
      <c r="AO17"/>
      <c r="AP17"/>
      <c r="AQ17"/>
      <c r="AR17"/>
      <c r="AS17"/>
      <c r="AT17"/>
    </row>
    <row r="18" spans="2:46" x14ac:dyDescent="0.25">
      <c r="B18" s="244"/>
      <c r="C18" s="139" t="s">
        <v>108</v>
      </c>
      <c r="D18" s="139" t="s">
        <v>109</v>
      </c>
      <c r="E18" s="140">
        <v>1.6</v>
      </c>
      <c r="F18" s="141"/>
      <c r="G18" s="142">
        <f t="shared" si="0"/>
        <v>0</v>
      </c>
      <c r="H18" s="80"/>
      <c r="I18" s="80"/>
      <c r="J18" s="80"/>
      <c r="K18" s="80"/>
      <c r="L18" s="80"/>
      <c r="M18" s="80"/>
      <c r="N18" s="80"/>
      <c r="O18" s="80"/>
      <c r="P18" s="80"/>
      <c r="Q18" s="80"/>
      <c r="R18" s="80"/>
      <c r="S18" s="80"/>
      <c r="T18" s="80"/>
      <c r="AF18"/>
      <c r="AG18"/>
      <c r="AH18"/>
      <c r="AI18"/>
      <c r="AJ18"/>
      <c r="AK18"/>
      <c r="AL18"/>
      <c r="AM18"/>
      <c r="AN18"/>
      <c r="AO18"/>
      <c r="AP18"/>
      <c r="AQ18"/>
      <c r="AR18"/>
      <c r="AS18"/>
      <c r="AT18"/>
    </row>
    <row r="19" spans="2:46" x14ac:dyDescent="0.25">
      <c r="B19" s="244"/>
      <c r="C19" s="139" t="s">
        <v>95</v>
      </c>
      <c r="D19" s="139" t="s">
        <v>110</v>
      </c>
      <c r="E19" s="140">
        <v>1.6</v>
      </c>
      <c r="F19" s="141"/>
      <c r="G19" s="142">
        <f t="shared" si="0"/>
        <v>0</v>
      </c>
      <c r="H19" s="143" t="s">
        <v>111</v>
      </c>
      <c r="I19" s="80" t="s">
        <v>112</v>
      </c>
      <c r="J19" s="80"/>
      <c r="K19" s="80"/>
      <c r="L19" s="80"/>
      <c r="M19" s="80"/>
      <c r="N19" s="80"/>
      <c r="O19" s="80"/>
      <c r="P19" s="80"/>
      <c r="Q19" s="80"/>
      <c r="R19" s="80"/>
      <c r="S19" s="80"/>
      <c r="T19" s="80"/>
      <c r="AF19"/>
      <c r="AG19"/>
      <c r="AH19"/>
      <c r="AI19"/>
      <c r="AJ19"/>
      <c r="AK19"/>
      <c r="AL19"/>
      <c r="AM19"/>
      <c r="AN19"/>
      <c r="AO19"/>
      <c r="AP19"/>
      <c r="AQ19"/>
      <c r="AR19"/>
      <c r="AS19"/>
      <c r="AT19"/>
    </row>
    <row r="20" spans="2:46" x14ac:dyDescent="0.25">
      <c r="B20" s="243"/>
      <c r="C20" s="147" t="s">
        <v>113</v>
      </c>
      <c r="D20" s="147" t="s">
        <v>110</v>
      </c>
      <c r="E20" s="150">
        <v>3</v>
      </c>
      <c r="F20" s="141"/>
      <c r="G20" s="142">
        <f t="shared" si="0"/>
        <v>0</v>
      </c>
      <c r="H20" s="80"/>
      <c r="I20" s="80"/>
      <c r="J20" s="80"/>
      <c r="K20" s="80"/>
      <c r="L20" s="80"/>
      <c r="M20" s="80"/>
      <c r="N20" s="80"/>
      <c r="O20" s="80"/>
      <c r="P20" s="80"/>
      <c r="Q20" s="80"/>
      <c r="R20" s="80"/>
      <c r="S20" s="80"/>
      <c r="T20" s="80"/>
      <c r="AF20"/>
      <c r="AG20"/>
      <c r="AH20"/>
      <c r="AI20"/>
      <c r="AJ20"/>
      <c r="AK20"/>
      <c r="AL20"/>
      <c r="AM20"/>
      <c r="AN20"/>
      <c r="AO20"/>
      <c r="AP20"/>
      <c r="AQ20"/>
      <c r="AR20"/>
      <c r="AS20"/>
      <c r="AT20"/>
    </row>
    <row r="21" spans="2:46" x14ac:dyDescent="0.25">
      <c r="B21" s="239" t="s">
        <v>114</v>
      </c>
      <c r="C21" s="139" t="s">
        <v>115</v>
      </c>
      <c r="D21" s="139" t="s">
        <v>116</v>
      </c>
      <c r="E21" s="145">
        <v>2</v>
      </c>
      <c r="F21" s="149"/>
      <c r="G21" s="142">
        <f t="shared" si="0"/>
        <v>0</v>
      </c>
      <c r="H21" s="143" t="s">
        <v>117</v>
      </c>
      <c r="I21" s="80" t="s">
        <v>118</v>
      </c>
      <c r="J21" s="80"/>
      <c r="K21" s="80"/>
      <c r="L21" s="80"/>
      <c r="M21" s="80"/>
      <c r="N21" s="80"/>
      <c r="O21" s="80"/>
      <c r="P21" s="80"/>
      <c r="Q21" s="80"/>
      <c r="R21" s="80"/>
      <c r="S21" s="80"/>
      <c r="T21" s="80"/>
      <c r="AF21"/>
      <c r="AG21"/>
      <c r="AH21"/>
      <c r="AI21"/>
      <c r="AJ21"/>
      <c r="AK21"/>
      <c r="AL21"/>
      <c r="AM21"/>
      <c r="AN21"/>
      <c r="AO21"/>
      <c r="AP21"/>
      <c r="AQ21"/>
      <c r="AR21"/>
      <c r="AS21"/>
      <c r="AT21"/>
    </row>
    <row r="22" spans="2:46" x14ac:dyDescent="0.25">
      <c r="B22" s="255"/>
      <c r="C22" s="147" t="s">
        <v>119</v>
      </c>
      <c r="D22" s="147" t="s">
        <v>120</v>
      </c>
      <c r="E22" s="150">
        <v>33</v>
      </c>
      <c r="F22" s="151"/>
      <c r="G22" s="142">
        <f t="shared" si="0"/>
        <v>0</v>
      </c>
      <c r="H22" s="80"/>
      <c r="I22" s="80"/>
      <c r="J22" s="80"/>
      <c r="K22" s="80"/>
      <c r="L22" s="80"/>
      <c r="M22" s="80"/>
      <c r="N22" s="80"/>
      <c r="O22" s="80"/>
      <c r="P22" s="80"/>
      <c r="Q22" s="80"/>
      <c r="R22" s="80"/>
      <c r="S22" s="80"/>
      <c r="T22" s="80"/>
      <c r="AF22"/>
      <c r="AG22"/>
      <c r="AH22"/>
      <c r="AI22"/>
      <c r="AJ22"/>
      <c r="AK22"/>
      <c r="AL22"/>
      <c r="AM22"/>
      <c r="AN22"/>
      <c r="AO22"/>
      <c r="AP22"/>
      <c r="AQ22"/>
      <c r="AR22"/>
      <c r="AS22"/>
      <c r="AT22"/>
    </row>
    <row r="23" spans="2:46" x14ac:dyDescent="0.25">
      <c r="B23" s="242" t="s">
        <v>121</v>
      </c>
      <c r="C23" s="139" t="s">
        <v>115</v>
      </c>
      <c r="D23" s="139" t="s">
        <v>122</v>
      </c>
      <c r="E23" s="140">
        <v>2.2000000000000002</v>
      </c>
      <c r="F23" s="141"/>
      <c r="G23" s="142">
        <f t="shared" si="0"/>
        <v>0</v>
      </c>
      <c r="H23" s="143" t="s">
        <v>123</v>
      </c>
      <c r="I23" s="80" t="s">
        <v>124</v>
      </c>
      <c r="J23" s="80"/>
      <c r="K23" s="80"/>
      <c r="L23" s="80"/>
      <c r="M23" s="80"/>
      <c r="N23" s="80"/>
      <c r="O23" s="80"/>
      <c r="P23" s="80"/>
      <c r="Q23" s="80"/>
      <c r="R23" s="80"/>
      <c r="S23" s="80"/>
      <c r="T23" s="80"/>
      <c r="AF23"/>
      <c r="AG23"/>
      <c r="AH23"/>
      <c r="AI23"/>
      <c r="AJ23"/>
      <c r="AK23"/>
      <c r="AL23"/>
      <c r="AM23"/>
      <c r="AN23"/>
      <c r="AO23"/>
      <c r="AP23"/>
      <c r="AQ23"/>
      <c r="AR23"/>
      <c r="AS23"/>
      <c r="AT23"/>
    </row>
    <row r="24" spans="2:46" x14ac:dyDescent="0.25">
      <c r="B24" s="259"/>
      <c r="C24" s="144" t="s">
        <v>119</v>
      </c>
      <c r="D24" s="144" t="s">
        <v>125</v>
      </c>
      <c r="E24" s="140">
        <v>200</v>
      </c>
      <c r="F24" s="141"/>
      <c r="G24" s="142">
        <f t="shared" si="0"/>
        <v>0</v>
      </c>
      <c r="H24" s="80"/>
      <c r="I24" s="80"/>
      <c r="J24" s="80"/>
      <c r="K24" s="80"/>
      <c r="L24" s="80"/>
      <c r="M24" s="80"/>
      <c r="N24" s="80"/>
      <c r="O24" s="80"/>
      <c r="P24" s="80"/>
      <c r="Q24" s="80"/>
      <c r="R24" s="80"/>
      <c r="S24" s="80"/>
      <c r="T24" s="80"/>
      <c r="AF24"/>
      <c r="AG24"/>
      <c r="AH24"/>
      <c r="AI24"/>
      <c r="AJ24"/>
      <c r="AK24"/>
      <c r="AL24"/>
      <c r="AM24"/>
      <c r="AN24"/>
      <c r="AO24"/>
      <c r="AP24"/>
      <c r="AQ24"/>
      <c r="AR24"/>
      <c r="AS24"/>
      <c r="AT24"/>
    </row>
    <row r="25" spans="2:46" x14ac:dyDescent="0.25">
      <c r="B25" s="254"/>
      <c r="C25" s="147" t="s">
        <v>126</v>
      </c>
      <c r="D25" s="147" t="s">
        <v>127</v>
      </c>
      <c r="E25" s="150">
        <v>200</v>
      </c>
      <c r="F25" s="151"/>
      <c r="G25" s="142">
        <f t="shared" si="0"/>
        <v>0</v>
      </c>
      <c r="H25" s="143" t="s">
        <v>128</v>
      </c>
      <c r="I25" s="80" t="s">
        <v>129</v>
      </c>
      <c r="J25" s="80"/>
      <c r="K25" s="80"/>
      <c r="L25" s="80"/>
      <c r="M25" s="80"/>
      <c r="N25" s="80"/>
      <c r="O25" s="80"/>
      <c r="P25" s="80"/>
      <c r="Q25" s="80"/>
      <c r="R25" s="80"/>
      <c r="S25" s="80"/>
      <c r="T25" s="80"/>
      <c r="AF25"/>
      <c r="AG25"/>
      <c r="AH25"/>
      <c r="AI25"/>
      <c r="AJ25"/>
      <c r="AK25"/>
      <c r="AL25"/>
      <c r="AM25"/>
      <c r="AN25"/>
      <c r="AO25"/>
      <c r="AP25"/>
      <c r="AQ25"/>
      <c r="AR25"/>
      <c r="AS25"/>
      <c r="AT25"/>
    </row>
    <row r="26" spans="2:46" ht="15.75" thickBot="1" x14ac:dyDescent="0.3">
      <c r="B26" s="244" t="s">
        <v>130</v>
      </c>
      <c r="C26" s="144" t="s">
        <v>108</v>
      </c>
      <c r="D26" s="144" t="s">
        <v>131</v>
      </c>
      <c r="E26" s="140">
        <v>3.6</v>
      </c>
      <c r="F26" s="141"/>
      <c r="G26" s="142">
        <f t="shared" si="0"/>
        <v>0</v>
      </c>
      <c r="H26" s="80"/>
      <c r="I26" s="132"/>
      <c r="J26" s="80"/>
      <c r="K26" s="80"/>
      <c r="L26" s="80"/>
      <c r="M26" s="80"/>
      <c r="N26" s="80"/>
      <c r="O26" s="80"/>
      <c r="P26" s="80"/>
      <c r="Q26" s="80"/>
      <c r="R26" s="80"/>
      <c r="S26" s="80"/>
      <c r="T26" s="80"/>
      <c r="AF26"/>
      <c r="AG26"/>
      <c r="AH26"/>
      <c r="AI26"/>
      <c r="AJ26"/>
      <c r="AK26"/>
      <c r="AL26"/>
      <c r="AM26"/>
      <c r="AN26"/>
      <c r="AO26"/>
      <c r="AP26"/>
      <c r="AQ26"/>
      <c r="AR26"/>
      <c r="AS26"/>
      <c r="AT26"/>
    </row>
    <row r="27" spans="2:46" x14ac:dyDescent="0.25">
      <c r="B27" s="244"/>
      <c r="C27" s="144" t="s">
        <v>132</v>
      </c>
      <c r="D27" s="144" t="s">
        <v>131</v>
      </c>
      <c r="E27" s="140">
        <v>3.6</v>
      </c>
      <c r="F27" s="141"/>
      <c r="G27" s="142">
        <f t="shared" si="0"/>
        <v>0</v>
      </c>
      <c r="H27" s="143"/>
      <c r="I27" s="245" t="s">
        <v>133</v>
      </c>
      <c r="J27" s="246"/>
      <c r="K27" s="246"/>
      <c r="L27" s="246"/>
      <c r="M27" s="246"/>
      <c r="N27" s="246"/>
      <c r="O27" s="246"/>
      <c r="P27" s="247"/>
      <c r="Q27" s="80"/>
      <c r="R27" s="80"/>
      <c r="S27" s="80"/>
      <c r="T27" s="80"/>
      <c r="AF27"/>
      <c r="AG27"/>
      <c r="AH27"/>
      <c r="AI27"/>
      <c r="AJ27"/>
      <c r="AK27"/>
      <c r="AL27"/>
      <c r="AM27"/>
      <c r="AN27"/>
      <c r="AO27"/>
      <c r="AP27"/>
      <c r="AQ27"/>
      <c r="AR27"/>
      <c r="AS27"/>
      <c r="AT27"/>
    </row>
    <row r="28" spans="2:46" x14ac:dyDescent="0.25">
      <c r="B28" s="244"/>
      <c r="C28" s="147" t="s">
        <v>113</v>
      </c>
      <c r="D28" s="147" t="s">
        <v>131</v>
      </c>
      <c r="E28" s="150">
        <v>15</v>
      </c>
      <c r="F28" s="151"/>
      <c r="G28" s="142">
        <f t="shared" si="0"/>
        <v>0</v>
      </c>
      <c r="H28" s="80"/>
      <c r="I28" s="248"/>
      <c r="J28" s="249"/>
      <c r="K28" s="249"/>
      <c r="L28" s="249"/>
      <c r="M28" s="249"/>
      <c r="N28" s="249"/>
      <c r="O28" s="249"/>
      <c r="P28" s="250"/>
      <c r="Q28" s="80"/>
      <c r="R28" s="80"/>
      <c r="S28" s="80"/>
      <c r="T28" s="80"/>
      <c r="AF28"/>
      <c r="AG28"/>
      <c r="AH28"/>
      <c r="AI28"/>
      <c r="AJ28"/>
      <c r="AK28"/>
      <c r="AL28"/>
      <c r="AM28"/>
      <c r="AN28"/>
      <c r="AO28"/>
      <c r="AP28"/>
      <c r="AQ28"/>
      <c r="AR28"/>
      <c r="AS28"/>
      <c r="AT28"/>
    </row>
    <row r="29" spans="2:46" x14ac:dyDescent="0.25">
      <c r="B29" s="239" t="s">
        <v>134</v>
      </c>
      <c r="C29" s="139" t="s">
        <v>87</v>
      </c>
      <c r="D29" s="139" t="s">
        <v>135</v>
      </c>
      <c r="E29" s="140">
        <v>1</v>
      </c>
      <c r="F29" s="141"/>
      <c r="G29" s="142">
        <f t="shared" si="0"/>
        <v>0</v>
      </c>
      <c r="H29" s="143"/>
      <c r="I29" s="248"/>
      <c r="J29" s="249"/>
      <c r="K29" s="249"/>
      <c r="L29" s="249"/>
      <c r="M29" s="249"/>
      <c r="N29" s="249"/>
      <c r="O29" s="249"/>
      <c r="P29" s="250"/>
      <c r="Q29" s="80"/>
      <c r="R29" s="80"/>
      <c r="S29" s="80"/>
      <c r="T29" s="80"/>
      <c r="AF29"/>
      <c r="AG29"/>
      <c r="AH29"/>
      <c r="AI29"/>
      <c r="AJ29"/>
      <c r="AK29"/>
      <c r="AL29"/>
      <c r="AM29"/>
      <c r="AN29"/>
      <c r="AO29"/>
      <c r="AP29"/>
      <c r="AQ29"/>
      <c r="AR29"/>
      <c r="AS29"/>
      <c r="AT29"/>
    </row>
    <row r="30" spans="2:46" x14ac:dyDescent="0.25">
      <c r="B30" s="240"/>
      <c r="C30" s="139" t="s">
        <v>136</v>
      </c>
      <c r="D30" s="139" t="s">
        <v>137</v>
      </c>
      <c r="E30" s="140">
        <v>0.8</v>
      </c>
      <c r="F30" s="141"/>
      <c r="G30" s="142">
        <f t="shared" si="0"/>
        <v>0</v>
      </c>
      <c r="H30" s="80"/>
      <c r="I30" s="248"/>
      <c r="J30" s="249"/>
      <c r="K30" s="249"/>
      <c r="L30" s="249"/>
      <c r="M30" s="249"/>
      <c r="N30" s="249"/>
      <c r="O30" s="249"/>
      <c r="P30" s="250"/>
      <c r="Q30" s="80"/>
      <c r="R30" s="80"/>
      <c r="S30" s="80"/>
      <c r="T30" s="80"/>
      <c r="AF30"/>
      <c r="AG30"/>
      <c r="AH30"/>
      <c r="AI30"/>
      <c r="AJ30"/>
      <c r="AK30"/>
      <c r="AL30"/>
      <c r="AM30"/>
      <c r="AN30"/>
      <c r="AO30"/>
      <c r="AP30"/>
      <c r="AQ30"/>
      <c r="AR30"/>
      <c r="AS30"/>
      <c r="AT30"/>
    </row>
    <row r="31" spans="2:46" x14ac:dyDescent="0.25">
      <c r="B31" s="254"/>
      <c r="C31" s="147" t="s">
        <v>101</v>
      </c>
      <c r="D31" s="147" t="s">
        <v>138</v>
      </c>
      <c r="E31" s="150">
        <v>3</v>
      </c>
      <c r="F31" s="141"/>
      <c r="G31" s="142">
        <f>F31*E31</f>
        <v>0</v>
      </c>
      <c r="H31" s="80"/>
      <c r="I31" s="248"/>
      <c r="J31" s="249"/>
      <c r="K31" s="249"/>
      <c r="L31" s="249"/>
      <c r="M31" s="249"/>
      <c r="N31" s="249"/>
      <c r="O31" s="249"/>
      <c r="P31" s="250"/>
      <c r="Q31" s="80"/>
      <c r="R31" s="80"/>
      <c r="S31" s="80"/>
      <c r="T31" s="80"/>
      <c r="AF31"/>
      <c r="AG31"/>
      <c r="AH31"/>
      <c r="AI31"/>
      <c r="AJ31"/>
      <c r="AK31"/>
      <c r="AL31"/>
      <c r="AM31"/>
      <c r="AN31"/>
      <c r="AO31"/>
      <c r="AP31"/>
      <c r="AQ31"/>
      <c r="AR31"/>
      <c r="AS31"/>
      <c r="AT31"/>
    </row>
    <row r="32" spans="2:46" x14ac:dyDescent="0.25">
      <c r="B32" s="239" t="s">
        <v>139</v>
      </c>
      <c r="C32" s="139" t="s">
        <v>136</v>
      </c>
      <c r="D32" s="139" t="s">
        <v>139</v>
      </c>
      <c r="E32" s="152">
        <v>0.08</v>
      </c>
      <c r="F32" s="149"/>
      <c r="G32" s="142">
        <f>F32*E32</f>
        <v>0</v>
      </c>
      <c r="H32" s="80"/>
      <c r="I32" s="248"/>
      <c r="J32" s="249"/>
      <c r="K32" s="249"/>
      <c r="L32" s="249"/>
      <c r="M32" s="249"/>
      <c r="N32" s="249"/>
      <c r="O32" s="249"/>
      <c r="P32" s="250"/>
      <c r="Q32" s="80"/>
      <c r="R32" s="80"/>
      <c r="S32" s="80"/>
      <c r="T32" s="80"/>
      <c r="AF32"/>
      <c r="AG32"/>
      <c r="AH32"/>
      <c r="AI32"/>
      <c r="AJ32"/>
      <c r="AK32"/>
      <c r="AL32"/>
      <c r="AM32"/>
      <c r="AN32"/>
      <c r="AO32"/>
      <c r="AP32"/>
      <c r="AQ32"/>
      <c r="AR32"/>
      <c r="AS32"/>
      <c r="AT32"/>
    </row>
    <row r="33" spans="2:46" x14ac:dyDescent="0.25">
      <c r="B33" s="254"/>
      <c r="C33" s="147" t="s">
        <v>101</v>
      </c>
      <c r="D33" s="147" t="s">
        <v>139</v>
      </c>
      <c r="E33" s="150">
        <v>0.3</v>
      </c>
      <c r="F33" s="141"/>
      <c r="G33" s="142">
        <f t="shared" si="0"/>
        <v>0</v>
      </c>
      <c r="H33" s="80"/>
      <c r="I33" s="248"/>
      <c r="J33" s="249"/>
      <c r="K33" s="249"/>
      <c r="L33" s="249"/>
      <c r="M33" s="249"/>
      <c r="N33" s="249"/>
      <c r="O33" s="249"/>
      <c r="P33" s="250"/>
      <c r="Q33" s="80"/>
      <c r="R33" s="80"/>
      <c r="S33" s="80"/>
      <c r="T33" s="80"/>
      <c r="AF33"/>
      <c r="AG33"/>
      <c r="AH33"/>
      <c r="AI33"/>
      <c r="AJ33"/>
      <c r="AK33"/>
      <c r="AL33"/>
      <c r="AM33"/>
      <c r="AN33"/>
      <c r="AO33"/>
      <c r="AP33"/>
      <c r="AQ33"/>
      <c r="AR33"/>
      <c r="AS33"/>
      <c r="AT33"/>
    </row>
    <row r="34" spans="2:46" x14ac:dyDescent="0.25">
      <c r="B34" s="239" t="s">
        <v>140</v>
      </c>
      <c r="C34" s="153" t="s">
        <v>87</v>
      </c>
      <c r="D34" s="153" t="s">
        <v>141</v>
      </c>
      <c r="E34" s="152">
        <v>0.15</v>
      </c>
      <c r="F34" s="149"/>
      <c r="G34" s="142">
        <f t="shared" si="0"/>
        <v>0</v>
      </c>
      <c r="H34" s="80"/>
      <c r="I34" s="248"/>
      <c r="J34" s="249"/>
      <c r="K34" s="249"/>
      <c r="L34" s="249"/>
      <c r="M34" s="249"/>
      <c r="N34" s="249"/>
      <c r="O34" s="249"/>
      <c r="P34" s="250"/>
      <c r="Q34" s="80"/>
      <c r="R34" s="80"/>
      <c r="S34" s="80"/>
      <c r="T34" s="80"/>
      <c r="AF34"/>
      <c r="AG34"/>
      <c r="AH34"/>
      <c r="AI34"/>
      <c r="AJ34"/>
      <c r="AK34"/>
      <c r="AL34"/>
      <c r="AM34"/>
      <c r="AN34"/>
      <c r="AO34"/>
      <c r="AP34"/>
      <c r="AQ34"/>
      <c r="AR34"/>
      <c r="AS34"/>
      <c r="AT34"/>
    </row>
    <row r="35" spans="2:46" x14ac:dyDescent="0.25">
      <c r="B35" s="255"/>
      <c r="C35" s="144" t="s">
        <v>142</v>
      </c>
      <c r="D35" s="144" t="s">
        <v>143</v>
      </c>
      <c r="E35" s="145">
        <v>0.15</v>
      </c>
      <c r="F35" s="141"/>
      <c r="G35" s="142">
        <f t="shared" si="0"/>
        <v>0</v>
      </c>
      <c r="H35" s="80"/>
      <c r="I35" s="248"/>
      <c r="J35" s="249"/>
      <c r="K35" s="249"/>
      <c r="L35" s="249"/>
      <c r="M35" s="249"/>
      <c r="N35" s="249"/>
      <c r="O35" s="249"/>
      <c r="P35" s="250"/>
      <c r="Q35" s="80"/>
      <c r="R35" s="80"/>
      <c r="S35" s="80"/>
      <c r="T35" s="80"/>
      <c r="AF35"/>
      <c r="AG35"/>
      <c r="AH35"/>
      <c r="AI35"/>
      <c r="AJ35"/>
      <c r="AK35"/>
      <c r="AL35"/>
      <c r="AM35"/>
      <c r="AN35"/>
      <c r="AO35"/>
      <c r="AP35"/>
      <c r="AQ35"/>
      <c r="AR35"/>
      <c r="AS35"/>
      <c r="AT35"/>
    </row>
    <row r="36" spans="2:46" x14ac:dyDescent="0.25">
      <c r="B36" s="241"/>
      <c r="C36" s="154" t="s">
        <v>136</v>
      </c>
      <c r="D36" s="154" t="s">
        <v>144</v>
      </c>
      <c r="E36" s="150">
        <v>0.15</v>
      </c>
      <c r="F36" s="151"/>
      <c r="G36" s="142">
        <f t="shared" si="0"/>
        <v>0</v>
      </c>
      <c r="H36" s="80"/>
      <c r="I36" s="248"/>
      <c r="J36" s="249"/>
      <c r="K36" s="249"/>
      <c r="L36" s="249"/>
      <c r="M36" s="249"/>
      <c r="N36" s="249"/>
      <c r="O36" s="249"/>
      <c r="P36" s="250"/>
      <c r="Q36" s="80"/>
      <c r="R36" s="80"/>
      <c r="S36" s="80"/>
      <c r="T36" s="80"/>
      <c r="AF36"/>
      <c r="AG36"/>
      <c r="AH36"/>
      <c r="AI36"/>
      <c r="AJ36"/>
      <c r="AK36"/>
      <c r="AL36"/>
      <c r="AM36"/>
      <c r="AN36"/>
      <c r="AO36"/>
      <c r="AP36"/>
      <c r="AQ36"/>
      <c r="AR36"/>
      <c r="AS36"/>
      <c r="AT36"/>
    </row>
    <row r="37" spans="2:46" ht="15.75" thickBot="1" x14ac:dyDescent="0.3">
      <c r="B37" s="240" t="s">
        <v>145</v>
      </c>
      <c r="C37" s="144" t="s">
        <v>87</v>
      </c>
      <c r="D37" s="144" t="s">
        <v>146</v>
      </c>
      <c r="E37" s="145">
        <v>0.1</v>
      </c>
      <c r="F37" s="141"/>
      <c r="G37" s="142">
        <f t="shared" si="0"/>
        <v>0</v>
      </c>
      <c r="H37" s="80"/>
      <c r="I37" s="251"/>
      <c r="J37" s="252"/>
      <c r="K37" s="252"/>
      <c r="L37" s="252"/>
      <c r="M37" s="252"/>
      <c r="N37" s="252"/>
      <c r="O37" s="252"/>
      <c r="P37" s="253"/>
      <c r="Q37" s="80"/>
      <c r="R37" s="80"/>
      <c r="S37" s="80"/>
      <c r="T37" s="80"/>
      <c r="AF37"/>
      <c r="AG37"/>
      <c r="AH37"/>
      <c r="AI37"/>
      <c r="AJ37"/>
      <c r="AK37"/>
      <c r="AL37"/>
      <c r="AM37"/>
      <c r="AN37"/>
      <c r="AO37"/>
      <c r="AP37"/>
      <c r="AQ37"/>
      <c r="AR37"/>
      <c r="AS37"/>
      <c r="AT37"/>
    </row>
    <row r="38" spans="2:46" x14ac:dyDescent="0.25">
      <c r="B38" s="240"/>
      <c r="C38" s="139" t="s">
        <v>108</v>
      </c>
      <c r="D38" s="139" t="s">
        <v>147</v>
      </c>
      <c r="E38" s="140">
        <v>0.1</v>
      </c>
      <c r="F38" s="141"/>
      <c r="G38" s="142">
        <f t="shared" si="0"/>
        <v>0</v>
      </c>
      <c r="H38" s="80"/>
      <c r="I38" s="80"/>
      <c r="J38" s="80"/>
      <c r="K38" s="80"/>
      <c r="L38" s="80"/>
      <c r="M38" s="80"/>
      <c r="N38" s="80"/>
      <c r="O38" s="80"/>
      <c r="P38" s="80"/>
      <c r="Q38" s="80"/>
      <c r="R38" s="80"/>
      <c r="S38" s="80"/>
      <c r="T38" s="80"/>
      <c r="AF38"/>
      <c r="AG38"/>
      <c r="AH38"/>
      <c r="AI38"/>
      <c r="AJ38"/>
      <c r="AK38"/>
      <c r="AL38"/>
      <c r="AM38"/>
      <c r="AN38"/>
      <c r="AO38"/>
      <c r="AP38"/>
      <c r="AQ38"/>
      <c r="AR38"/>
      <c r="AS38"/>
      <c r="AT38"/>
    </row>
    <row r="39" spans="2:46" x14ac:dyDescent="0.25">
      <c r="B39" s="256"/>
      <c r="C39" s="154" t="s">
        <v>89</v>
      </c>
      <c r="D39" s="154" t="s">
        <v>148</v>
      </c>
      <c r="E39" s="150">
        <v>0.1</v>
      </c>
      <c r="F39" s="151"/>
      <c r="G39" s="142">
        <f t="shared" si="0"/>
        <v>0</v>
      </c>
      <c r="H39" s="80"/>
      <c r="I39" s="80"/>
      <c r="J39" s="80"/>
      <c r="K39" s="80"/>
      <c r="L39" s="80"/>
      <c r="M39" s="80"/>
      <c r="N39" s="80"/>
      <c r="O39" s="80"/>
      <c r="P39" s="80"/>
      <c r="Q39" s="80"/>
      <c r="R39" s="80"/>
      <c r="S39" s="80"/>
      <c r="T39" s="80"/>
      <c r="AF39"/>
      <c r="AG39"/>
      <c r="AH39"/>
      <c r="AI39"/>
      <c r="AJ39"/>
      <c r="AK39"/>
      <c r="AL39"/>
      <c r="AM39"/>
      <c r="AN39"/>
      <c r="AO39"/>
      <c r="AP39"/>
      <c r="AQ39"/>
      <c r="AR39"/>
      <c r="AS39"/>
      <c r="AT39"/>
    </row>
    <row r="40" spans="2:46" x14ac:dyDescent="0.25">
      <c r="B40" s="239" t="s">
        <v>149</v>
      </c>
      <c r="C40" s="144" t="s">
        <v>87</v>
      </c>
      <c r="D40" s="144" t="s">
        <v>149</v>
      </c>
      <c r="E40" s="145">
        <v>2</v>
      </c>
      <c r="F40" s="141"/>
      <c r="G40" s="142">
        <f t="shared" si="0"/>
        <v>0</v>
      </c>
      <c r="H40" s="80"/>
      <c r="I40" s="80"/>
      <c r="J40" s="80"/>
      <c r="K40" s="80"/>
      <c r="L40" s="80"/>
      <c r="M40" s="80"/>
      <c r="N40" s="80"/>
      <c r="O40" s="80"/>
      <c r="P40" s="80"/>
      <c r="Q40" s="80"/>
      <c r="R40" s="80"/>
      <c r="S40" s="80"/>
      <c r="T40" s="80"/>
      <c r="AF40"/>
      <c r="AG40"/>
      <c r="AH40"/>
      <c r="AI40"/>
      <c r="AJ40"/>
      <c r="AK40"/>
      <c r="AL40"/>
      <c r="AM40"/>
      <c r="AN40"/>
      <c r="AO40"/>
      <c r="AP40"/>
      <c r="AQ40"/>
      <c r="AR40"/>
      <c r="AS40"/>
      <c r="AT40"/>
    </row>
    <row r="41" spans="2:46" x14ac:dyDescent="0.25">
      <c r="B41" s="240"/>
      <c r="C41" s="144" t="s">
        <v>95</v>
      </c>
      <c r="D41" s="144" t="s">
        <v>149</v>
      </c>
      <c r="E41" s="145">
        <v>2</v>
      </c>
      <c r="F41" s="141"/>
      <c r="G41" s="142">
        <f t="shared" si="0"/>
        <v>0</v>
      </c>
      <c r="H41" s="80"/>
      <c r="I41" s="80"/>
      <c r="J41" s="80"/>
      <c r="K41" s="80"/>
      <c r="L41" s="80"/>
      <c r="M41" s="80"/>
      <c r="N41" s="80"/>
      <c r="O41" s="80"/>
      <c r="P41" s="80"/>
      <c r="Q41" s="80"/>
      <c r="R41" s="80"/>
      <c r="S41" s="80"/>
      <c r="T41" s="80"/>
      <c r="AF41"/>
      <c r="AG41"/>
      <c r="AH41"/>
      <c r="AI41"/>
      <c r="AJ41"/>
      <c r="AK41"/>
      <c r="AL41"/>
      <c r="AM41"/>
      <c r="AN41"/>
      <c r="AO41"/>
      <c r="AP41"/>
      <c r="AQ41"/>
      <c r="AR41"/>
      <c r="AS41"/>
      <c r="AT41"/>
    </row>
    <row r="42" spans="2:46" x14ac:dyDescent="0.25">
      <c r="B42" s="241"/>
      <c r="C42" s="154" t="s">
        <v>101</v>
      </c>
      <c r="D42" s="154" t="s">
        <v>149</v>
      </c>
      <c r="E42" s="150">
        <v>3</v>
      </c>
      <c r="F42" s="141"/>
      <c r="G42" s="142">
        <f t="shared" si="0"/>
        <v>0</v>
      </c>
      <c r="H42" s="80"/>
      <c r="I42" s="80"/>
      <c r="J42" s="80"/>
      <c r="K42" s="80"/>
      <c r="L42" s="80"/>
      <c r="M42" s="80"/>
      <c r="N42" s="80"/>
      <c r="O42" s="80"/>
      <c r="P42" s="80"/>
      <c r="Q42" s="80"/>
      <c r="R42" s="80"/>
      <c r="S42" s="80"/>
      <c r="T42" s="80"/>
      <c r="AF42"/>
      <c r="AG42"/>
      <c r="AH42"/>
      <c r="AI42"/>
      <c r="AJ42"/>
      <c r="AK42"/>
      <c r="AL42"/>
      <c r="AM42"/>
      <c r="AN42"/>
      <c r="AO42"/>
      <c r="AP42"/>
      <c r="AQ42"/>
      <c r="AR42"/>
      <c r="AS42"/>
      <c r="AT42"/>
    </row>
    <row r="43" spans="2:46" x14ac:dyDescent="0.25">
      <c r="B43" s="242" t="s">
        <v>150</v>
      </c>
      <c r="C43" s="155" t="s">
        <v>87</v>
      </c>
      <c r="D43" s="155" t="s">
        <v>151</v>
      </c>
      <c r="E43" s="148">
        <v>0.1</v>
      </c>
      <c r="F43" s="149"/>
      <c r="G43" s="142">
        <f t="shared" si="0"/>
        <v>0</v>
      </c>
      <c r="H43" s="80"/>
      <c r="I43" s="80"/>
      <c r="J43" s="80"/>
      <c r="K43" s="80"/>
      <c r="L43" s="80"/>
      <c r="M43" s="80"/>
      <c r="N43" s="80"/>
      <c r="O43" s="80"/>
      <c r="P43" s="80"/>
      <c r="Q43" s="80"/>
      <c r="R43" s="80"/>
      <c r="S43" s="80"/>
      <c r="T43" s="80"/>
      <c r="AF43"/>
      <c r="AG43"/>
      <c r="AH43"/>
      <c r="AI43"/>
      <c r="AJ43"/>
      <c r="AK43"/>
      <c r="AL43"/>
      <c r="AM43"/>
      <c r="AN43"/>
      <c r="AO43"/>
      <c r="AP43"/>
      <c r="AQ43"/>
      <c r="AR43"/>
      <c r="AS43"/>
      <c r="AT43"/>
    </row>
    <row r="44" spans="2:46" x14ac:dyDescent="0.25">
      <c r="B44" s="243"/>
      <c r="C44" s="154" t="s">
        <v>89</v>
      </c>
      <c r="D44" s="154" t="s">
        <v>151</v>
      </c>
      <c r="E44" s="150">
        <v>0.1</v>
      </c>
      <c r="F44" s="151"/>
      <c r="G44" s="142">
        <f t="shared" si="0"/>
        <v>0</v>
      </c>
      <c r="H44" s="80"/>
      <c r="I44" s="80"/>
      <c r="J44" s="80"/>
      <c r="K44" s="80"/>
      <c r="L44" s="80"/>
      <c r="M44" s="80"/>
      <c r="N44" s="80"/>
      <c r="O44" s="80"/>
      <c r="P44" s="80"/>
      <c r="Q44" s="80"/>
      <c r="R44" s="80"/>
      <c r="S44" s="80"/>
      <c r="T44" s="80"/>
      <c r="AF44"/>
      <c r="AG44"/>
      <c r="AH44"/>
      <c r="AI44"/>
      <c r="AJ44"/>
      <c r="AK44"/>
      <c r="AL44"/>
      <c r="AM44"/>
      <c r="AN44"/>
      <c r="AO44"/>
      <c r="AP44"/>
      <c r="AQ44"/>
      <c r="AR44"/>
      <c r="AS44"/>
      <c r="AT44"/>
    </row>
    <row r="45" spans="2:46" x14ac:dyDescent="0.25">
      <c r="B45" s="156" t="s">
        <v>152</v>
      </c>
      <c r="C45" s="91" t="s">
        <v>87</v>
      </c>
      <c r="D45" s="91" t="s">
        <v>153</v>
      </c>
      <c r="E45" s="92">
        <v>0.05</v>
      </c>
      <c r="F45" s="93"/>
      <c r="G45" s="142">
        <f t="shared" si="0"/>
        <v>0</v>
      </c>
      <c r="H45" s="80"/>
      <c r="I45" s="80"/>
      <c r="J45" s="80"/>
      <c r="K45" s="80"/>
      <c r="L45" s="80"/>
      <c r="M45" s="80"/>
      <c r="N45" s="80"/>
      <c r="O45" s="80"/>
      <c r="P45" s="80"/>
      <c r="Q45" s="80"/>
      <c r="R45" s="80"/>
      <c r="S45" s="80"/>
      <c r="T45" s="80"/>
      <c r="AF45"/>
      <c r="AG45"/>
      <c r="AH45"/>
      <c r="AI45"/>
      <c r="AJ45"/>
      <c r="AK45"/>
      <c r="AL45"/>
      <c r="AM45"/>
      <c r="AN45"/>
      <c r="AO45"/>
      <c r="AP45"/>
      <c r="AQ45"/>
      <c r="AR45"/>
      <c r="AS45"/>
      <c r="AT45"/>
    </row>
    <row r="46" spans="2:46" x14ac:dyDescent="0.25">
      <c r="B46" s="156"/>
      <c r="C46" s="139" t="s">
        <v>154</v>
      </c>
      <c r="D46" s="139" t="s">
        <v>155</v>
      </c>
      <c r="E46" s="140">
        <v>0.05</v>
      </c>
      <c r="F46" s="141"/>
      <c r="G46" s="142">
        <f t="shared" si="0"/>
        <v>0</v>
      </c>
      <c r="H46" s="80"/>
      <c r="I46" s="80"/>
      <c r="J46" s="80"/>
      <c r="K46" s="80"/>
      <c r="L46" s="80"/>
      <c r="M46" s="80"/>
      <c r="N46" s="80"/>
      <c r="O46" s="80"/>
      <c r="P46" s="80"/>
      <c r="Q46" s="80"/>
      <c r="R46" s="80"/>
      <c r="S46" s="80"/>
      <c r="T46" s="80"/>
      <c r="AF46"/>
      <c r="AG46"/>
      <c r="AH46"/>
      <c r="AI46"/>
      <c r="AJ46"/>
      <c r="AK46"/>
      <c r="AL46"/>
      <c r="AM46"/>
      <c r="AN46"/>
      <c r="AO46"/>
      <c r="AP46"/>
      <c r="AQ46"/>
      <c r="AR46"/>
      <c r="AS46"/>
      <c r="AT46"/>
    </row>
    <row r="47" spans="2:46" x14ac:dyDescent="0.25">
      <c r="B47" s="157" t="s">
        <v>156</v>
      </c>
      <c r="C47" s="139" t="s">
        <v>89</v>
      </c>
      <c r="D47" s="139" t="s">
        <v>157</v>
      </c>
      <c r="E47" s="140">
        <v>0.05</v>
      </c>
      <c r="F47" s="141"/>
      <c r="G47" s="142">
        <f t="shared" si="0"/>
        <v>0</v>
      </c>
      <c r="H47" s="80"/>
      <c r="I47" s="80"/>
      <c r="J47" s="80"/>
      <c r="K47" s="80"/>
      <c r="L47" s="80"/>
      <c r="M47" s="80"/>
      <c r="N47" s="80"/>
      <c r="O47" s="80"/>
      <c r="P47" s="80"/>
      <c r="Q47" s="80"/>
      <c r="R47" s="80"/>
      <c r="S47" s="80"/>
      <c r="T47" s="80"/>
      <c r="AF47"/>
      <c r="AG47"/>
      <c r="AH47"/>
      <c r="AI47"/>
      <c r="AJ47"/>
      <c r="AK47"/>
      <c r="AL47"/>
      <c r="AM47"/>
      <c r="AN47"/>
      <c r="AO47"/>
      <c r="AP47"/>
      <c r="AQ47"/>
      <c r="AR47"/>
      <c r="AS47"/>
      <c r="AT47"/>
    </row>
    <row r="48" spans="2:46" x14ac:dyDescent="0.25">
      <c r="B48" s="157"/>
      <c r="C48" s="139" t="s">
        <v>95</v>
      </c>
      <c r="D48" s="154" t="s">
        <v>158</v>
      </c>
      <c r="E48" s="150">
        <v>0.05</v>
      </c>
      <c r="F48" s="151"/>
      <c r="G48" s="142">
        <f t="shared" si="0"/>
        <v>0</v>
      </c>
      <c r="H48" s="80"/>
      <c r="I48" s="80"/>
      <c r="J48" s="80"/>
      <c r="K48" s="80"/>
      <c r="L48" s="80"/>
      <c r="M48" s="80"/>
      <c r="N48" s="80"/>
      <c r="O48" s="80"/>
      <c r="P48" s="80"/>
      <c r="Q48" s="80"/>
      <c r="R48" s="80"/>
      <c r="S48" s="80"/>
      <c r="T48" s="80"/>
      <c r="AF48"/>
      <c r="AG48"/>
      <c r="AH48"/>
      <c r="AI48"/>
      <c r="AJ48"/>
      <c r="AK48"/>
      <c r="AL48"/>
      <c r="AM48"/>
      <c r="AN48"/>
      <c r="AO48"/>
      <c r="AP48"/>
      <c r="AQ48"/>
      <c r="AR48"/>
      <c r="AS48"/>
      <c r="AT48"/>
    </row>
    <row r="49" spans="2:46" ht="15.75" thickBot="1" x14ac:dyDescent="0.3">
      <c r="B49" s="158"/>
      <c r="C49" s="158"/>
      <c r="D49" s="159"/>
      <c r="E49" s="132"/>
      <c r="F49" s="160" t="s">
        <v>159</v>
      </c>
      <c r="G49" s="161">
        <f>SUM(G10:G48)</f>
        <v>0</v>
      </c>
      <c r="H49" s="80"/>
      <c r="I49" s="80"/>
      <c r="J49" s="80"/>
      <c r="K49" s="80"/>
      <c r="L49" s="80"/>
      <c r="M49" s="80"/>
      <c r="N49" s="80"/>
      <c r="O49" s="80"/>
      <c r="P49" s="80"/>
      <c r="Q49" s="80"/>
      <c r="R49" s="80"/>
      <c r="S49" s="80"/>
      <c r="T49" s="80"/>
      <c r="AF49"/>
      <c r="AG49"/>
      <c r="AH49"/>
      <c r="AI49"/>
      <c r="AJ49"/>
      <c r="AK49"/>
      <c r="AL49"/>
      <c r="AM49"/>
      <c r="AN49"/>
      <c r="AO49"/>
      <c r="AP49"/>
      <c r="AQ49"/>
      <c r="AR49"/>
      <c r="AS49"/>
      <c r="AT49"/>
    </row>
    <row r="50" spans="2:46" ht="15.75" thickTop="1" x14ac:dyDescent="0.25">
      <c r="B50" s="80"/>
      <c r="C50" s="80"/>
      <c r="D50" s="80"/>
      <c r="E50" s="80"/>
      <c r="F50" s="80"/>
      <c r="G50" s="80"/>
      <c r="H50" s="80"/>
      <c r="I50" s="80"/>
      <c r="J50" s="80"/>
      <c r="K50" s="80"/>
      <c r="L50" s="80"/>
      <c r="M50" s="80"/>
      <c r="N50" s="80"/>
      <c r="O50" s="80"/>
      <c r="P50" s="80"/>
      <c r="Q50" s="80"/>
      <c r="R50" s="80"/>
      <c r="S50" s="80"/>
      <c r="T50" s="80"/>
    </row>
    <row r="51" spans="2:46" x14ac:dyDescent="0.25">
      <c r="B51" s="80"/>
      <c r="C51" s="80"/>
      <c r="D51" s="80"/>
      <c r="E51" s="80"/>
      <c r="F51" s="80"/>
      <c r="G51" s="80"/>
      <c r="H51" s="80"/>
      <c r="I51" s="80"/>
      <c r="J51" s="80"/>
      <c r="K51" s="80"/>
      <c r="L51" s="80"/>
      <c r="M51" s="80"/>
      <c r="N51" s="80"/>
      <c r="O51" s="80"/>
      <c r="P51" s="80"/>
      <c r="Q51" s="80"/>
      <c r="R51" s="80"/>
      <c r="S51" s="80"/>
      <c r="T51" s="80"/>
    </row>
    <row r="52" spans="2:46" x14ac:dyDescent="0.25">
      <c r="B52" s="80"/>
      <c r="C52" s="80"/>
      <c r="D52" s="80"/>
      <c r="E52" s="80"/>
      <c r="F52" s="80"/>
      <c r="G52" s="80"/>
      <c r="H52" s="80"/>
      <c r="I52" s="80"/>
      <c r="J52" s="80"/>
      <c r="K52" s="80"/>
      <c r="L52" s="80"/>
      <c r="M52" s="80"/>
      <c r="N52" s="80"/>
      <c r="O52" s="80"/>
      <c r="P52" s="80"/>
      <c r="Q52" s="80"/>
      <c r="R52" s="80"/>
      <c r="S52" s="80"/>
      <c r="T52" s="80"/>
    </row>
    <row r="53" spans="2:46" s="80" customFormat="1" ht="15.75" x14ac:dyDescent="0.25">
      <c r="B53" s="162" t="s">
        <v>160</v>
      </c>
    </row>
    <row r="54" spans="2:46" s="80" customFormat="1" ht="15" customHeight="1" x14ac:dyDescent="0.25">
      <c r="B54" s="162"/>
    </row>
    <row r="55" spans="2:46" s="80" customFormat="1" x14ac:dyDescent="0.25">
      <c r="B55" s="132" t="s">
        <v>161</v>
      </c>
    </row>
    <row r="56" spans="2:46" s="80" customFormat="1" x14ac:dyDescent="0.25">
      <c r="B56" s="132" t="s">
        <v>162</v>
      </c>
    </row>
    <row r="57" spans="2:46" s="80" customFormat="1" ht="45" customHeight="1" x14ac:dyDescent="0.25">
      <c r="B57" t="s">
        <v>163</v>
      </c>
    </row>
    <row r="58" spans="2:46" s="80" customFormat="1" x14ac:dyDescent="0.25">
      <c r="B58" s="163"/>
    </row>
    <row r="59" spans="2:46" s="80" customFormat="1" x14ac:dyDescent="0.25">
      <c r="B59" s="80" t="s">
        <v>164</v>
      </c>
    </row>
    <row r="60" spans="2:46" s="80" customFormat="1" x14ac:dyDescent="0.25">
      <c r="B60" s="80" t="s">
        <v>165</v>
      </c>
    </row>
    <row r="61" spans="2:46" s="80" customFormat="1" ht="5.25" customHeight="1" thickBot="1" x14ac:dyDescent="0.3">
      <c r="N61" s="82"/>
      <c r="O61" s="82"/>
      <c r="P61" s="82"/>
      <c r="Q61" s="82"/>
      <c r="R61" s="82"/>
      <c r="S61" s="82"/>
    </row>
    <row r="62" spans="2:46" s="80" customFormat="1" ht="72.75" customHeight="1" thickBot="1" x14ac:dyDescent="0.3">
      <c r="B62" s="164" t="s">
        <v>166</v>
      </c>
      <c r="C62" s="165" t="s">
        <v>25</v>
      </c>
      <c r="D62" s="166" t="s">
        <v>167</v>
      </c>
      <c r="E62" s="167" t="s">
        <v>168</v>
      </c>
      <c r="F62" s="168" t="s">
        <v>169</v>
      </c>
      <c r="G62" s="169" t="s">
        <v>170</v>
      </c>
      <c r="H62" s="169" t="s">
        <v>171</v>
      </c>
      <c r="I62" s="169" t="s">
        <v>172</v>
      </c>
      <c r="J62" s="169" t="s">
        <v>173</v>
      </c>
      <c r="K62" s="169" t="s">
        <v>174</v>
      </c>
      <c r="L62" s="169" t="s">
        <v>175</v>
      </c>
      <c r="M62" s="169" t="s">
        <v>176</v>
      </c>
      <c r="N62" s="169" t="s">
        <v>177</v>
      </c>
      <c r="O62" s="169" t="s">
        <v>178</v>
      </c>
      <c r="P62" s="169" t="s">
        <v>179</v>
      </c>
      <c r="Q62" s="169" t="s">
        <v>180</v>
      </c>
      <c r="R62" s="169" t="s">
        <v>181</v>
      </c>
      <c r="S62" s="169" t="s">
        <v>182</v>
      </c>
      <c r="T62" s="170" t="s">
        <v>130</v>
      </c>
    </row>
    <row r="63" spans="2:46" s="80" customFormat="1" ht="65.25" customHeight="1" thickBot="1" x14ac:dyDescent="0.3">
      <c r="B63" s="171" t="s">
        <v>169</v>
      </c>
      <c r="C63" s="172" t="s">
        <v>116</v>
      </c>
      <c r="D63" s="173" t="s">
        <v>183</v>
      </c>
      <c r="E63" s="174" t="s">
        <v>183</v>
      </c>
      <c r="F63" s="175">
        <v>1</v>
      </c>
      <c r="G63" s="176">
        <f>G64*15/1.2</f>
        <v>15</v>
      </c>
      <c r="H63" s="177">
        <f>H65*15/8</f>
        <v>15</v>
      </c>
      <c r="I63" s="177">
        <f>I66*15/12</f>
        <v>15</v>
      </c>
      <c r="J63" s="177">
        <f>J67*15/30</f>
        <v>15</v>
      </c>
      <c r="K63" s="177">
        <f>K68*15/10</f>
        <v>15</v>
      </c>
      <c r="L63" s="177">
        <f>L69*15/6</f>
        <v>15</v>
      </c>
      <c r="M63" s="178">
        <f>M70*15/30</f>
        <v>50</v>
      </c>
      <c r="N63" s="177">
        <f>N71*15/10</f>
        <v>15</v>
      </c>
      <c r="O63" s="177">
        <f>O72*15/15</f>
        <v>15</v>
      </c>
      <c r="P63" s="177">
        <f>P73*15/7.5</f>
        <v>15</v>
      </c>
      <c r="Q63" s="177">
        <f>Q74*15/0.01</f>
        <v>15</v>
      </c>
      <c r="R63" s="177">
        <f>R75*15/150</f>
        <v>15</v>
      </c>
      <c r="S63" s="177">
        <f>S76*15/10</f>
        <v>15</v>
      </c>
      <c r="T63" s="179">
        <f>T77*15/4</f>
        <v>15</v>
      </c>
    </row>
    <row r="64" spans="2:46" s="80" customFormat="1" ht="65.25" customHeight="1" thickBot="1" x14ac:dyDescent="0.3">
      <c r="B64" s="180" t="s">
        <v>184</v>
      </c>
      <c r="C64" s="181" t="s">
        <v>185</v>
      </c>
      <c r="D64" s="182" t="s">
        <v>186</v>
      </c>
      <c r="E64" s="183" t="s">
        <v>187</v>
      </c>
      <c r="F64" s="184">
        <v>1.2</v>
      </c>
      <c r="G64" s="185">
        <v>1.2</v>
      </c>
      <c r="H64" s="184">
        <f>H65*1.2/8</f>
        <v>1.2</v>
      </c>
      <c r="I64" s="186">
        <f>I66*1.2/12</f>
        <v>1.2</v>
      </c>
      <c r="J64" s="186">
        <f>J67*1.2/30</f>
        <v>1.2</v>
      </c>
      <c r="K64" s="186">
        <f>K68*1.2/10</f>
        <v>1.2</v>
      </c>
      <c r="L64" s="186">
        <f>L69*1.2/6</f>
        <v>1.2</v>
      </c>
      <c r="M64" s="187">
        <f>M70*1.2/30</f>
        <v>4</v>
      </c>
      <c r="N64" s="186">
        <f>N71*1.2/10</f>
        <v>1.2</v>
      </c>
      <c r="O64" s="186">
        <f>O72*1.2/15</f>
        <v>1.2</v>
      </c>
      <c r="P64" s="186">
        <f>P73*1.2/7.5</f>
        <v>1.2</v>
      </c>
      <c r="Q64" s="186">
        <f>Q74*1.2/0.01</f>
        <v>1.2</v>
      </c>
      <c r="R64" s="186">
        <f>R75*1.2/150</f>
        <v>1.2</v>
      </c>
      <c r="S64" s="186">
        <f>S76*1.2/10</f>
        <v>1.2</v>
      </c>
      <c r="T64" s="188">
        <f>T77*1.2/4</f>
        <v>1.2</v>
      </c>
    </row>
    <row r="65" spans="2:20" s="80" customFormat="1" ht="65.25" customHeight="1" thickBot="1" x14ac:dyDescent="0.3">
      <c r="B65" s="171" t="s">
        <v>188</v>
      </c>
      <c r="C65" s="189" t="s">
        <v>189</v>
      </c>
      <c r="D65" s="182" t="s">
        <v>190</v>
      </c>
      <c r="E65" s="183" t="s">
        <v>191</v>
      </c>
      <c r="F65" s="176">
        <f>F63*8/15</f>
        <v>0.53333333333333333</v>
      </c>
      <c r="G65" s="190">
        <f>G64*8/1.2</f>
        <v>8</v>
      </c>
      <c r="H65" s="185">
        <v>8</v>
      </c>
      <c r="I65" s="191">
        <f>I66*8/12</f>
        <v>8</v>
      </c>
      <c r="J65" s="192">
        <f>J67*8/30</f>
        <v>8</v>
      </c>
      <c r="K65" s="192">
        <f>K68*8/10</f>
        <v>8</v>
      </c>
      <c r="L65" s="192">
        <f>L69*8/6</f>
        <v>8</v>
      </c>
      <c r="M65" s="187">
        <f>M70*8/30</f>
        <v>26.666666666666668</v>
      </c>
      <c r="N65" s="192">
        <f>N71*8/10</f>
        <v>8</v>
      </c>
      <c r="O65" s="192">
        <f>O72*8/15</f>
        <v>8</v>
      </c>
      <c r="P65" s="192">
        <f>P73*8/7.5</f>
        <v>8</v>
      </c>
      <c r="Q65" s="192">
        <f>Q74*8/0.01</f>
        <v>8</v>
      </c>
      <c r="R65" s="192">
        <f>R75*8/150</f>
        <v>8</v>
      </c>
      <c r="S65" s="192">
        <f>S76*8/10</f>
        <v>8</v>
      </c>
      <c r="T65" s="193">
        <f>T77*8/4</f>
        <v>8</v>
      </c>
    </row>
    <row r="66" spans="2:20" s="80" customFormat="1" ht="65.25" customHeight="1" thickBot="1" x14ac:dyDescent="0.3">
      <c r="B66" s="180" t="s">
        <v>172</v>
      </c>
      <c r="C66" s="181" t="s">
        <v>122</v>
      </c>
      <c r="D66" s="194" t="s">
        <v>192</v>
      </c>
      <c r="E66" s="195" t="s">
        <v>191</v>
      </c>
      <c r="F66" s="184">
        <f>F63*12/15</f>
        <v>0.8</v>
      </c>
      <c r="G66" s="196">
        <f>G64*12/1.2</f>
        <v>12</v>
      </c>
      <c r="H66" s="196">
        <f>H65*12/8</f>
        <v>12</v>
      </c>
      <c r="I66" s="197">
        <v>12</v>
      </c>
      <c r="J66" s="184">
        <f>J67*12/30</f>
        <v>12</v>
      </c>
      <c r="K66" s="196">
        <f>K68*12/10</f>
        <v>12</v>
      </c>
      <c r="L66" s="196">
        <f>L68*12/10</f>
        <v>12</v>
      </c>
      <c r="M66" s="178">
        <f>M70*12/30</f>
        <v>40</v>
      </c>
      <c r="N66" s="196">
        <f>N71*12/12</f>
        <v>10</v>
      </c>
      <c r="O66" s="196">
        <f>O72*12/15</f>
        <v>12</v>
      </c>
      <c r="P66" s="196">
        <f>P73*12/7.5</f>
        <v>12</v>
      </c>
      <c r="Q66" s="196">
        <f>Q74*12/0.01</f>
        <v>12</v>
      </c>
      <c r="R66" s="196">
        <f>R75*12/150</f>
        <v>12</v>
      </c>
      <c r="S66" s="196">
        <f>S76*12/10</f>
        <v>12</v>
      </c>
      <c r="T66" s="188">
        <f>T77*12/4</f>
        <v>12</v>
      </c>
    </row>
    <row r="67" spans="2:20" s="80" customFormat="1" ht="65.25" customHeight="1" thickBot="1" x14ac:dyDescent="0.3">
      <c r="B67" s="171" t="s">
        <v>173</v>
      </c>
      <c r="C67" s="189" t="s">
        <v>193</v>
      </c>
      <c r="D67" s="198" t="s">
        <v>194</v>
      </c>
      <c r="E67" s="199" t="s">
        <v>195</v>
      </c>
      <c r="F67" s="176">
        <f>F63*30/15</f>
        <v>2</v>
      </c>
      <c r="G67" s="177">
        <f>G64*30/1.2</f>
        <v>30</v>
      </c>
      <c r="H67" s="177">
        <f>H65*30/8</f>
        <v>30</v>
      </c>
      <c r="I67" s="177">
        <f>I66*30/12</f>
        <v>30</v>
      </c>
      <c r="J67" s="197">
        <v>30</v>
      </c>
      <c r="K67" s="176">
        <f>K68*30/10</f>
        <v>30</v>
      </c>
      <c r="L67" s="177">
        <f>L69*30/6</f>
        <v>30</v>
      </c>
      <c r="M67" s="178">
        <f>M70*30/30</f>
        <v>100</v>
      </c>
      <c r="N67" s="177">
        <f>N71*30/10</f>
        <v>30</v>
      </c>
      <c r="O67" s="177">
        <f>O72*30/15</f>
        <v>30</v>
      </c>
      <c r="P67" s="177">
        <f>P73*30/7.5</f>
        <v>30</v>
      </c>
      <c r="Q67" s="177">
        <f>Q74*30/0.01</f>
        <v>30</v>
      </c>
      <c r="R67" s="177">
        <f>R75*30/150</f>
        <v>30</v>
      </c>
      <c r="S67" s="177">
        <f>S76*30/10</f>
        <v>30</v>
      </c>
      <c r="T67" s="193">
        <f>T77*30/4</f>
        <v>30</v>
      </c>
    </row>
    <row r="68" spans="2:20" s="80" customFormat="1" ht="65.25" customHeight="1" thickBot="1" x14ac:dyDescent="0.3">
      <c r="B68" s="180" t="s">
        <v>174</v>
      </c>
      <c r="C68" s="181" t="s">
        <v>174</v>
      </c>
      <c r="D68" s="198" t="s">
        <v>196</v>
      </c>
      <c r="E68" s="199" t="s">
        <v>196</v>
      </c>
      <c r="F68" s="184">
        <f>F63*10/15</f>
        <v>0.66666666666666663</v>
      </c>
      <c r="G68" s="196">
        <f>G64*10/1.2</f>
        <v>10</v>
      </c>
      <c r="H68" s="196">
        <f>H65*10/8</f>
        <v>10</v>
      </c>
      <c r="I68" s="196">
        <f>I66*10/12</f>
        <v>10</v>
      </c>
      <c r="J68" s="196">
        <f>J67*10/30</f>
        <v>10</v>
      </c>
      <c r="K68" s="197">
        <v>10</v>
      </c>
      <c r="L68" s="184">
        <f>L69*10/6</f>
        <v>10</v>
      </c>
      <c r="M68" s="178">
        <f>M70*10/30</f>
        <v>33.333333333333336</v>
      </c>
      <c r="N68" s="196">
        <f>N71*10/10</f>
        <v>10</v>
      </c>
      <c r="O68" s="196">
        <f>O72*10/15</f>
        <v>10</v>
      </c>
      <c r="P68" s="196">
        <f>P73*10/7.5</f>
        <v>10</v>
      </c>
      <c r="Q68" s="196">
        <f>Q74*10/0.01</f>
        <v>10</v>
      </c>
      <c r="R68" s="196">
        <f>R75*10/150</f>
        <v>10</v>
      </c>
      <c r="S68" s="196">
        <f>S76*10/10</f>
        <v>10</v>
      </c>
      <c r="T68" s="188">
        <f>T77*10/4</f>
        <v>10</v>
      </c>
    </row>
    <row r="69" spans="2:20" s="80" customFormat="1" ht="65.25" customHeight="1" thickBot="1" x14ac:dyDescent="0.3">
      <c r="B69" s="171" t="s">
        <v>175</v>
      </c>
      <c r="C69" s="189" t="s">
        <v>197</v>
      </c>
      <c r="D69" s="198" t="s">
        <v>198</v>
      </c>
      <c r="E69" s="199" t="s">
        <v>199</v>
      </c>
      <c r="F69" s="176">
        <f>F63*6/15</f>
        <v>0.4</v>
      </c>
      <c r="G69" s="177">
        <f>G64*6/1.2</f>
        <v>6</v>
      </c>
      <c r="H69" s="177">
        <f>H65*6/8</f>
        <v>6</v>
      </c>
      <c r="I69" s="177">
        <f>I66*6/12</f>
        <v>6</v>
      </c>
      <c r="J69" s="177">
        <f>J67*6/30</f>
        <v>6</v>
      </c>
      <c r="K69" s="177">
        <f>K68*6/10</f>
        <v>6</v>
      </c>
      <c r="L69" s="197">
        <v>6</v>
      </c>
      <c r="M69" s="200">
        <f>M70*6/30</f>
        <v>20</v>
      </c>
      <c r="N69" s="177">
        <f>N71*6/10</f>
        <v>6</v>
      </c>
      <c r="O69" s="177">
        <f>O72*6/15</f>
        <v>6</v>
      </c>
      <c r="P69" s="177">
        <f>P73*6/7.5</f>
        <v>6</v>
      </c>
      <c r="Q69" s="177">
        <f>Q74*6/0.01</f>
        <v>6</v>
      </c>
      <c r="R69" s="177">
        <f>R75*6/150</f>
        <v>6</v>
      </c>
      <c r="S69" s="177">
        <f>S76*6/10</f>
        <v>6</v>
      </c>
      <c r="T69" s="193">
        <f>T77*6/4</f>
        <v>6</v>
      </c>
    </row>
    <row r="70" spans="2:20" s="80" customFormat="1" ht="65.25" customHeight="1" thickBot="1" x14ac:dyDescent="0.3">
      <c r="B70" s="180" t="s">
        <v>176</v>
      </c>
      <c r="C70" s="181" t="s">
        <v>200</v>
      </c>
      <c r="D70" s="198" t="s">
        <v>201</v>
      </c>
      <c r="E70" s="199" t="s">
        <v>199</v>
      </c>
      <c r="F70" s="184">
        <f>F63*30/15</f>
        <v>2</v>
      </c>
      <c r="G70" s="196">
        <f>G64*30/1.2</f>
        <v>30</v>
      </c>
      <c r="H70" s="196">
        <f>H65*30/8</f>
        <v>30</v>
      </c>
      <c r="I70" s="196">
        <f>I66*30/12</f>
        <v>30</v>
      </c>
      <c r="J70" s="196">
        <f>J67*30/30</f>
        <v>30</v>
      </c>
      <c r="K70" s="196">
        <f>K68*30/10</f>
        <v>30</v>
      </c>
      <c r="L70" s="196">
        <f>L69*30/6</f>
        <v>30</v>
      </c>
      <c r="M70" s="201">
        <v>100</v>
      </c>
      <c r="N70" s="184">
        <f>N71*30/10</f>
        <v>30</v>
      </c>
      <c r="O70" s="196">
        <f>O72*30/15</f>
        <v>30</v>
      </c>
      <c r="P70" s="196">
        <f>P73*30/7.5</f>
        <v>30</v>
      </c>
      <c r="Q70" s="196">
        <f>Q74*30/0.01</f>
        <v>30</v>
      </c>
      <c r="R70" s="196">
        <f>R75*30/150</f>
        <v>30</v>
      </c>
      <c r="S70" s="196">
        <f>S76*30/10</f>
        <v>30</v>
      </c>
      <c r="T70" s="188">
        <f>T77*30/4</f>
        <v>30</v>
      </c>
    </row>
    <row r="71" spans="2:20" s="80" customFormat="1" ht="65.25" customHeight="1" thickBot="1" x14ac:dyDescent="0.3">
      <c r="B71" s="171" t="s">
        <v>177</v>
      </c>
      <c r="C71" s="189" t="s">
        <v>177</v>
      </c>
      <c r="D71" s="198" t="s">
        <v>196</v>
      </c>
      <c r="E71" s="199" t="s">
        <v>194</v>
      </c>
      <c r="F71" s="176">
        <f>F63*10/15</f>
        <v>0.66666666666666663</v>
      </c>
      <c r="G71" s="177">
        <f>G64*10/1.2</f>
        <v>10</v>
      </c>
      <c r="H71" s="177">
        <f>H65*10/8</f>
        <v>10</v>
      </c>
      <c r="I71" s="177">
        <f>I66*10/12</f>
        <v>10</v>
      </c>
      <c r="J71" s="177">
        <f>J67*10/30</f>
        <v>10</v>
      </c>
      <c r="K71" s="177">
        <f>K68*10/10</f>
        <v>10</v>
      </c>
      <c r="L71" s="177">
        <f>L69*10/6</f>
        <v>10</v>
      </c>
      <c r="M71" s="178">
        <f>M70*10/30</f>
        <v>33.333333333333336</v>
      </c>
      <c r="N71" s="197">
        <v>10</v>
      </c>
      <c r="O71" s="176">
        <f>O72*10/15</f>
        <v>10</v>
      </c>
      <c r="P71" s="177">
        <f>P73*10/7.5</f>
        <v>10</v>
      </c>
      <c r="Q71" s="177">
        <f>Q74*10/0.01</f>
        <v>10</v>
      </c>
      <c r="R71" s="177">
        <f>R75*10/150</f>
        <v>10</v>
      </c>
      <c r="S71" s="177">
        <f>S76*10/10</f>
        <v>10</v>
      </c>
      <c r="T71" s="193">
        <f>T77*10/4</f>
        <v>10</v>
      </c>
    </row>
    <row r="72" spans="2:20" s="80" customFormat="1" ht="65.25" customHeight="1" thickBot="1" x14ac:dyDescent="0.3">
      <c r="B72" s="180" t="s">
        <v>178</v>
      </c>
      <c r="C72" s="181" t="s">
        <v>202</v>
      </c>
      <c r="D72" s="198" t="s">
        <v>203</v>
      </c>
      <c r="E72" s="199" t="s">
        <v>204</v>
      </c>
      <c r="F72" s="184">
        <f>F63*15/15</f>
        <v>1</v>
      </c>
      <c r="G72" s="196">
        <f>G64*15/1.2</f>
        <v>15</v>
      </c>
      <c r="H72" s="196">
        <f>H65*15/8</f>
        <v>15</v>
      </c>
      <c r="I72" s="196">
        <f>I66*15/12</f>
        <v>15</v>
      </c>
      <c r="J72" s="196">
        <f>J67*15/30</f>
        <v>15</v>
      </c>
      <c r="K72" s="196">
        <f>K68*15/10</f>
        <v>15</v>
      </c>
      <c r="L72" s="196">
        <f>L69*15/6</f>
        <v>15</v>
      </c>
      <c r="M72" s="178">
        <f>M70*15/30</f>
        <v>50</v>
      </c>
      <c r="N72" s="196">
        <f>N71*15/10</f>
        <v>15</v>
      </c>
      <c r="O72" s="197">
        <v>15</v>
      </c>
      <c r="P72" s="184">
        <f>P73*15/7.5</f>
        <v>15</v>
      </c>
      <c r="Q72" s="196">
        <f>Q74*15/0.01</f>
        <v>15</v>
      </c>
      <c r="R72" s="196">
        <f>R75*15/150</f>
        <v>15</v>
      </c>
      <c r="S72" s="196">
        <f>S76*15/10</f>
        <v>15</v>
      </c>
      <c r="T72" s="188">
        <f>T77*15/4</f>
        <v>15</v>
      </c>
    </row>
    <row r="73" spans="2:20" s="80" customFormat="1" ht="65.25" customHeight="1" thickBot="1" x14ac:dyDescent="0.3">
      <c r="B73" s="171" t="s">
        <v>179</v>
      </c>
      <c r="C73" s="189" t="s">
        <v>205</v>
      </c>
      <c r="D73" s="202" t="s">
        <v>206</v>
      </c>
      <c r="E73" s="203" t="s">
        <v>194</v>
      </c>
      <c r="F73" s="176">
        <f>F63*7.5/15</f>
        <v>0.5</v>
      </c>
      <c r="G73" s="177">
        <f>G64*7.5/1.2</f>
        <v>7.5</v>
      </c>
      <c r="H73" s="177">
        <f>H65*7.5/8</f>
        <v>7.5</v>
      </c>
      <c r="I73" s="177">
        <f>I66*7.5/12</f>
        <v>7.5</v>
      </c>
      <c r="J73" s="177">
        <f>J67*7.5/30</f>
        <v>7.5</v>
      </c>
      <c r="K73" s="177">
        <f>K68*7.5/10</f>
        <v>7.5</v>
      </c>
      <c r="L73" s="177">
        <f>L69*7.5/6</f>
        <v>7.5</v>
      </c>
      <c r="M73" s="178">
        <f>M70*7.5/30</f>
        <v>25</v>
      </c>
      <c r="N73" s="177">
        <f>N71*7.5/10</f>
        <v>7.5</v>
      </c>
      <c r="O73" s="177">
        <f>O72*7.5/15</f>
        <v>7.5</v>
      </c>
      <c r="P73" s="197">
        <v>7.5</v>
      </c>
      <c r="Q73" s="176">
        <f>Q74*7.5/0.01</f>
        <v>7.5</v>
      </c>
      <c r="R73" s="177">
        <f>R75*7.5/150</f>
        <v>7.5</v>
      </c>
      <c r="S73" s="177">
        <f>S76*7.5/10</f>
        <v>7.5</v>
      </c>
      <c r="T73" s="193">
        <f>T77*7.5/4</f>
        <v>7.5</v>
      </c>
    </row>
    <row r="74" spans="2:20" s="80" customFormat="1" ht="65.25" customHeight="1" thickBot="1" x14ac:dyDescent="0.3">
      <c r="B74" s="180" t="s">
        <v>180</v>
      </c>
      <c r="C74" s="181" t="s">
        <v>207</v>
      </c>
      <c r="D74" s="204" t="s">
        <v>208</v>
      </c>
      <c r="E74" s="205" t="s">
        <v>191</v>
      </c>
      <c r="F74" s="206">
        <f>F63*0.01/15</f>
        <v>6.6666666666666664E-4</v>
      </c>
      <c r="G74" s="207">
        <f>G64*0.01/1.2</f>
        <v>0.01</v>
      </c>
      <c r="H74" s="207">
        <f>H65*0.01/8</f>
        <v>0.01</v>
      </c>
      <c r="I74" s="207">
        <f>I66*0.01/12</f>
        <v>0.01</v>
      </c>
      <c r="J74" s="207">
        <f>J67*0.01/30</f>
        <v>0.01</v>
      </c>
      <c r="K74" s="207">
        <f>K68*0.01/10</f>
        <v>0.01</v>
      </c>
      <c r="L74" s="207">
        <f>L69*0.01/6</f>
        <v>0.01</v>
      </c>
      <c r="M74" s="208">
        <f>M70*0.01/30</f>
        <v>3.3333333333333333E-2</v>
      </c>
      <c r="N74" s="207">
        <f>N71*0.01/10</f>
        <v>0.01</v>
      </c>
      <c r="O74" s="207">
        <f>O72*0.01/15</f>
        <v>0.01</v>
      </c>
      <c r="P74" s="207">
        <f>P73*0.01/7.5</f>
        <v>0.01</v>
      </c>
      <c r="Q74" s="209">
        <v>0.01</v>
      </c>
      <c r="R74" s="206">
        <f>R75*0.01/150</f>
        <v>0.01</v>
      </c>
      <c r="S74" s="207">
        <f>S76*0.01/10</f>
        <v>0.01</v>
      </c>
      <c r="T74" s="188">
        <f>T77*0.01/4</f>
        <v>0.01</v>
      </c>
    </row>
    <row r="75" spans="2:20" s="80" customFormat="1" ht="65.25" customHeight="1" thickBot="1" x14ac:dyDescent="0.3">
      <c r="B75" s="171" t="s">
        <v>181</v>
      </c>
      <c r="C75" s="189" t="s">
        <v>209</v>
      </c>
      <c r="D75" s="198" t="s">
        <v>210</v>
      </c>
      <c r="E75" s="199" t="s">
        <v>211</v>
      </c>
      <c r="F75" s="176">
        <f>F63*150/15</f>
        <v>10</v>
      </c>
      <c r="G75" s="177">
        <f>G64*150/1.2</f>
        <v>150</v>
      </c>
      <c r="H75" s="177">
        <f>H65*150/8</f>
        <v>150</v>
      </c>
      <c r="I75" s="177">
        <f>I66*150/12</f>
        <v>150</v>
      </c>
      <c r="J75" s="177">
        <f>J67*150/30</f>
        <v>150</v>
      </c>
      <c r="K75" s="177">
        <f>K68*150/10</f>
        <v>150</v>
      </c>
      <c r="L75" s="177">
        <f>L69*150/6</f>
        <v>150</v>
      </c>
      <c r="M75" s="178">
        <f>M70*150/30</f>
        <v>500</v>
      </c>
      <c r="N75" s="177">
        <f>N71*150/10</f>
        <v>150</v>
      </c>
      <c r="O75" s="177">
        <f>O72*150/15</f>
        <v>150</v>
      </c>
      <c r="P75" s="177">
        <f>P73*150/7.5</f>
        <v>150</v>
      </c>
      <c r="Q75" s="177">
        <f>Q74*150/0.01</f>
        <v>150</v>
      </c>
      <c r="R75" s="197">
        <v>150</v>
      </c>
      <c r="S75" s="176">
        <f>S76*150/10</f>
        <v>150</v>
      </c>
      <c r="T75" s="193">
        <f>T77*150/4</f>
        <v>150</v>
      </c>
    </row>
    <row r="76" spans="2:20" s="80" customFormat="1" ht="65.25" customHeight="1" thickBot="1" x14ac:dyDescent="0.3">
      <c r="B76" s="180" t="s">
        <v>182</v>
      </c>
      <c r="C76" s="181" t="s">
        <v>212</v>
      </c>
      <c r="D76" s="198" t="s">
        <v>196</v>
      </c>
      <c r="E76" s="199" t="s">
        <v>213</v>
      </c>
      <c r="F76" s="184">
        <f>F63*10/15</f>
        <v>0.66666666666666663</v>
      </c>
      <c r="G76" s="196">
        <f>G64*10/1.2</f>
        <v>10</v>
      </c>
      <c r="H76" s="196">
        <f>H65*10/8</f>
        <v>10</v>
      </c>
      <c r="I76" s="196">
        <f>I66*10/12</f>
        <v>10</v>
      </c>
      <c r="J76" s="196">
        <f>J67*80/30</f>
        <v>80</v>
      </c>
      <c r="K76" s="196">
        <f>K68*10/10</f>
        <v>10</v>
      </c>
      <c r="L76" s="196">
        <f>L69*10/6</f>
        <v>10</v>
      </c>
      <c r="M76" s="178">
        <f>M70*10/30</f>
        <v>33.333333333333336</v>
      </c>
      <c r="N76" s="196">
        <f>N71*10/10</f>
        <v>10</v>
      </c>
      <c r="O76" s="196">
        <f>O72*10/15</f>
        <v>10</v>
      </c>
      <c r="P76" s="196">
        <f>P73*10/7.5</f>
        <v>10</v>
      </c>
      <c r="Q76" s="196">
        <f>Q74*10/0.01</f>
        <v>10</v>
      </c>
      <c r="R76" s="196">
        <f>R75*10/150</f>
        <v>10</v>
      </c>
      <c r="S76" s="197">
        <v>10</v>
      </c>
      <c r="T76" s="210">
        <f>T77*10/4</f>
        <v>10</v>
      </c>
    </row>
    <row r="77" spans="2:20" s="80" customFormat="1" ht="65.25" customHeight="1" thickBot="1" x14ac:dyDescent="0.3">
      <c r="B77" s="211" t="s">
        <v>214</v>
      </c>
      <c r="C77" s="212" t="s">
        <v>131</v>
      </c>
      <c r="D77" s="213" t="s">
        <v>215</v>
      </c>
      <c r="E77" s="214" t="s">
        <v>216</v>
      </c>
      <c r="F77" s="215">
        <f>F63*4/15</f>
        <v>0.26666666666666666</v>
      </c>
      <c r="G77" s="216">
        <f>G64*4/1.2</f>
        <v>4</v>
      </c>
      <c r="H77" s="216">
        <f>H65*4/8</f>
        <v>4</v>
      </c>
      <c r="I77" s="216">
        <f>I66*4/12</f>
        <v>4</v>
      </c>
      <c r="J77" s="216">
        <f>J67*4/30</f>
        <v>4</v>
      </c>
      <c r="K77" s="216">
        <f>K68*4/10</f>
        <v>4</v>
      </c>
      <c r="L77" s="216">
        <f>L69*4/6</f>
        <v>4</v>
      </c>
      <c r="M77" s="217">
        <f>M70*4/30</f>
        <v>13.333333333333334</v>
      </c>
      <c r="N77" s="216">
        <f>N71*4/10</f>
        <v>4</v>
      </c>
      <c r="O77" s="216">
        <f>O72*4/15</f>
        <v>4</v>
      </c>
      <c r="P77" s="216">
        <f>P73*4/7.5</f>
        <v>4</v>
      </c>
      <c r="Q77" s="216">
        <f>Q74*4/0.01</f>
        <v>4</v>
      </c>
      <c r="R77" s="216">
        <f>R75*4/150</f>
        <v>4</v>
      </c>
      <c r="S77" s="216">
        <f>S76*4/10</f>
        <v>4</v>
      </c>
      <c r="T77" s="218">
        <v>4</v>
      </c>
    </row>
    <row r="78" spans="2:20" s="80" customFormat="1" x14ac:dyDescent="0.25"/>
    <row r="79" spans="2:20" s="80" customFormat="1" x14ac:dyDescent="0.25"/>
    <row r="80" spans="2:20" s="80" customFormat="1" x14ac:dyDescent="0.25"/>
    <row r="81" s="80" customFormat="1" x14ac:dyDescent="0.25"/>
    <row r="82" s="80" customFormat="1" x14ac:dyDescent="0.25"/>
    <row r="83" s="80" customFormat="1" x14ac:dyDescent="0.25"/>
    <row r="84" s="80" customFormat="1" x14ac:dyDescent="0.25"/>
    <row r="85" s="80" customFormat="1" x14ac:dyDescent="0.25"/>
    <row r="86" s="80" customFormat="1" x14ac:dyDescent="0.25"/>
    <row r="87" s="80" customFormat="1" x14ac:dyDescent="0.25"/>
    <row r="88" s="80" customFormat="1" x14ac:dyDescent="0.25"/>
    <row r="89" s="80" customFormat="1" x14ac:dyDescent="0.25"/>
    <row r="90" s="80" customFormat="1" x14ac:dyDescent="0.25"/>
    <row r="91" s="80" customFormat="1" x14ac:dyDescent="0.25"/>
    <row r="92" s="80" customFormat="1" x14ac:dyDescent="0.25"/>
    <row r="93" s="80" customFormat="1" x14ac:dyDescent="0.25"/>
    <row r="94" s="80" customFormat="1" x14ac:dyDescent="0.25"/>
    <row r="95" s="80" customFormat="1" x14ac:dyDescent="0.25"/>
    <row r="96" s="80" customFormat="1" x14ac:dyDescent="0.25"/>
    <row r="97" s="80" customFormat="1" x14ac:dyDescent="0.25"/>
    <row r="98" s="80" customFormat="1" x14ac:dyDescent="0.25"/>
    <row r="99" s="80" customFormat="1" x14ac:dyDescent="0.25"/>
    <row r="100" s="80" customFormat="1" x14ac:dyDescent="0.25"/>
    <row r="101" s="80" customFormat="1" x14ac:dyDescent="0.25"/>
    <row r="102" s="80" customFormat="1" x14ac:dyDescent="0.25"/>
    <row r="103" s="80" customFormat="1" x14ac:dyDescent="0.25"/>
    <row r="104" s="80" customFormat="1" x14ac:dyDescent="0.25"/>
    <row r="105" s="80" customFormat="1" x14ac:dyDescent="0.25"/>
    <row r="106" s="80" customFormat="1" x14ac:dyDescent="0.25"/>
    <row r="107" s="80" customFormat="1" x14ac:dyDescent="0.25"/>
    <row r="108" s="80" customFormat="1" x14ac:dyDescent="0.25"/>
    <row r="109" s="80" customFormat="1" x14ac:dyDescent="0.25"/>
    <row r="110" s="80" customFormat="1" x14ac:dyDescent="0.25"/>
    <row r="111" s="80" customFormat="1" x14ac:dyDescent="0.25"/>
    <row r="112" s="80" customFormat="1" x14ac:dyDescent="0.25"/>
    <row r="113" s="80" customFormat="1" x14ac:dyDescent="0.25"/>
    <row r="114" s="80" customFormat="1" x14ac:dyDescent="0.25"/>
    <row r="115" s="80" customFormat="1" x14ac:dyDescent="0.25"/>
    <row r="116" s="80" customFormat="1" x14ac:dyDescent="0.25"/>
  </sheetData>
  <sheetProtection password="CED4" sheet="1" objects="1" scenarios="1"/>
  <protectedRanges>
    <protectedRange sqref="F10:F48" name="Område1"/>
  </protectedRanges>
  <mergeCells count="14">
    <mergeCell ref="B23:B25"/>
    <mergeCell ref="B2:G6"/>
    <mergeCell ref="I9:K9"/>
    <mergeCell ref="B10:B15"/>
    <mergeCell ref="B16:B20"/>
    <mergeCell ref="B21:B22"/>
    <mergeCell ref="B40:B42"/>
    <mergeCell ref="B43:B44"/>
    <mergeCell ref="B26:B28"/>
    <mergeCell ref="I27:P37"/>
    <mergeCell ref="B29:B31"/>
    <mergeCell ref="B32:B33"/>
    <mergeCell ref="B34:B36"/>
    <mergeCell ref="B37:B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153"/>
  <sheetViews>
    <sheetView zoomScale="90" zoomScaleNormal="90" workbookViewId="0">
      <selection activeCell="Q32" sqref="Q32"/>
    </sheetView>
  </sheetViews>
  <sheetFormatPr baseColWidth="10" defaultColWidth="11.42578125" defaultRowHeight="15" x14ac:dyDescent="0.25"/>
  <cols>
    <col min="1" max="1" width="9" style="6" customWidth="1"/>
    <col min="2" max="2" width="29.85546875" style="6" customWidth="1"/>
    <col min="3" max="3" width="12.140625" style="6" customWidth="1"/>
    <col min="4" max="19" width="8.7109375" style="6" customWidth="1"/>
    <col min="20" max="20" width="27" style="6" customWidth="1"/>
    <col min="21" max="21" width="11.5703125" style="6" customWidth="1"/>
    <col min="22" max="22" width="8.85546875" style="6" customWidth="1"/>
    <col min="23" max="23" width="7.85546875" style="6" customWidth="1"/>
    <col min="24" max="24" width="11.42578125" style="6"/>
    <col min="25" max="52" width="11.42578125" style="77"/>
    <col min="53" max="16384" width="11.42578125" style="6"/>
  </cols>
  <sheetData>
    <row r="1" spans="1:52" x14ac:dyDescent="0.25">
      <c r="A1" s="48"/>
      <c r="B1" s="49"/>
      <c r="C1" s="49"/>
      <c r="D1" s="49"/>
      <c r="E1" s="49"/>
      <c r="F1" s="49"/>
      <c r="G1" s="49"/>
      <c r="H1" s="49"/>
      <c r="I1" s="49"/>
      <c r="J1" s="49"/>
      <c r="K1" s="49"/>
      <c r="L1" s="49"/>
      <c r="M1" s="49"/>
      <c r="N1" s="49"/>
      <c r="O1" s="49"/>
      <c r="P1" s="49"/>
      <c r="Q1" s="49"/>
      <c r="R1" s="49"/>
      <c r="S1" s="49"/>
      <c r="T1" s="49"/>
      <c r="U1" s="49"/>
      <c r="V1" s="49"/>
      <c r="W1" s="49"/>
      <c r="X1" s="50"/>
    </row>
    <row r="2" spans="1:52" s="8" customFormat="1" ht="18.75" x14ac:dyDescent="0.3">
      <c r="A2" s="51"/>
      <c r="B2" s="52"/>
      <c r="C2" s="53" t="s">
        <v>19</v>
      </c>
      <c r="D2" s="52"/>
      <c r="E2" s="52"/>
      <c r="F2" s="52"/>
      <c r="G2" s="52"/>
      <c r="H2" s="52"/>
      <c r="I2" s="52"/>
      <c r="J2" s="53" t="s">
        <v>51</v>
      </c>
      <c r="K2" s="52"/>
      <c r="L2" s="52"/>
      <c r="M2" s="52"/>
      <c r="N2" s="53"/>
      <c r="O2" s="53"/>
      <c r="P2" s="52"/>
      <c r="Q2" s="52"/>
      <c r="R2" s="52"/>
      <c r="S2" s="52"/>
      <c r="T2" s="52"/>
      <c r="U2" s="52"/>
      <c r="V2" s="52"/>
      <c r="W2" s="52"/>
      <c r="X2" s="54"/>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row>
    <row r="3" spans="1:52" ht="18.75" x14ac:dyDescent="0.3">
      <c r="A3" s="55"/>
      <c r="B3" s="42"/>
      <c r="C3" s="56" t="s">
        <v>16</v>
      </c>
      <c r="D3" s="53"/>
      <c r="E3" s="53"/>
      <c r="F3" s="53"/>
      <c r="G3" s="57"/>
      <c r="H3" s="53"/>
      <c r="I3" s="53"/>
      <c r="J3" s="53"/>
      <c r="K3" s="42"/>
      <c r="L3" s="42"/>
      <c r="M3" s="42"/>
      <c r="N3" s="42"/>
      <c r="O3" s="42"/>
      <c r="P3" s="42"/>
      <c r="Q3" s="42"/>
      <c r="R3" s="42"/>
      <c r="S3" s="42"/>
      <c r="T3" s="52"/>
      <c r="U3" s="52"/>
      <c r="V3" s="52"/>
      <c r="W3" s="42"/>
      <c r="X3" s="58"/>
    </row>
    <row r="4" spans="1:52" ht="18.75" x14ac:dyDescent="0.3">
      <c r="A4" s="55"/>
      <c r="B4" s="53"/>
      <c r="C4" s="56"/>
      <c r="D4" s="53"/>
      <c r="E4" s="53"/>
      <c r="F4" s="53"/>
      <c r="G4" s="57"/>
      <c r="H4" s="53"/>
      <c r="I4" s="53"/>
      <c r="J4" s="53"/>
      <c r="K4" s="42"/>
      <c r="L4" s="42"/>
      <c r="M4" s="42"/>
      <c r="N4" s="42"/>
      <c r="O4" s="42"/>
      <c r="P4" s="42"/>
      <c r="Q4" s="42"/>
      <c r="R4" s="42"/>
      <c r="S4" s="42"/>
      <c r="T4" s="52"/>
      <c r="U4" s="52"/>
      <c r="V4" s="52"/>
      <c r="W4" s="42"/>
      <c r="X4" s="58"/>
    </row>
    <row r="5" spans="1:52" ht="19.5" thickBot="1" x14ac:dyDescent="0.35">
      <c r="A5" s="55"/>
      <c r="B5" s="42"/>
      <c r="C5" s="42"/>
      <c r="D5" s="42"/>
      <c r="E5" s="42"/>
      <c r="F5" s="42"/>
      <c r="G5" s="42"/>
      <c r="H5" s="42"/>
      <c r="I5" s="42"/>
      <c r="J5" s="42"/>
      <c r="K5" s="42"/>
      <c r="L5" s="42"/>
      <c r="M5" s="42"/>
      <c r="N5" s="42"/>
      <c r="O5" s="42"/>
      <c r="P5" s="42"/>
      <c r="Q5" s="42"/>
      <c r="R5" s="42"/>
      <c r="S5" s="42"/>
      <c r="T5" s="37" t="s">
        <v>8</v>
      </c>
      <c r="U5" s="38"/>
      <c r="V5" s="38"/>
      <c r="W5" s="42"/>
      <c r="X5" s="58"/>
    </row>
    <row r="6" spans="1:52" ht="16.5" thickBot="1" x14ac:dyDescent="0.3">
      <c r="A6" s="55"/>
      <c r="B6" s="42"/>
      <c r="C6" s="42"/>
      <c r="D6" s="42"/>
      <c r="E6" s="42"/>
      <c r="F6" s="42"/>
      <c r="G6" s="42"/>
      <c r="H6" s="42"/>
      <c r="I6" s="42"/>
      <c r="J6" s="42"/>
      <c r="K6" s="42"/>
      <c r="L6" s="42"/>
      <c r="M6" s="42"/>
      <c r="N6" s="42"/>
      <c r="O6" s="42"/>
      <c r="P6" s="42"/>
      <c r="Q6" s="42"/>
      <c r="R6" s="42"/>
      <c r="S6" s="42"/>
      <c r="T6" s="23" t="str">
        <f>"Nedtrapping av " &amp;$U$7</f>
        <v>Nedtrapping av Sobril</v>
      </c>
      <c r="U6" s="24" t="str">
        <f>$U$9&amp;" "&amp;$U$11</f>
        <v>125 mg</v>
      </c>
      <c r="V6" s="39"/>
      <c r="W6" s="42"/>
      <c r="X6" s="58"/>
    </row>
    <row r="7" spans="1:52" ht="15.75" x14ac:dyDescent="0.25">
      <c r="A7" s="55"/>
      <c r="B7" s="42"/>
      <c r="C7" s="42"/>
      <c r="D7" s="42"/>
      <c r="E7" s="42"/>
      <c r="F7" s="42"/>
      <c r="G7" s="42"/>
      <c r="H7" s="42"/>
      <c r="I7" s="42"/>
      <c r="J7" s="42"/>
      <c r="K7" s="42"/>
      <c r="L7" s="42"/>
      <c r="M7" s="42"/>
      <c r="N7" s="42"/>
      <c r="O7" s="42"/>
      <c r="P7" s="42"/>
      <c r="Q7" s="42"/>
      <c r="R7" s="42"/>
      <c r="S7" s="42"/>
      <c r="T7" s="3" t="s">
        <v>12</v>
      </c>
      <c r="U7" s="1" t="s">
        <v>10</v>
      </c>
      <c r="V7" s="40"/>
      <c r="W7" s="42"/>
      <c r="X7" s="58"/>
    </row>
    <row r="8" spans="1:52" ht="15.75" x14ac:dyDescent="0.25">
      <c r="A8" s="55"/>
      <c r="B8" s="42"/>
      <c r="C8" s="42"/>
      <c r="D8" s="42"/>
      <c r="E8" s="42"/>
      <c r="F8" s="42"/>
      <c r="G8" s="42"/>
      <c r="H8" s="42"/>
      <c r="I8" s="42"/>
      <c r="J8" s="42"/>
      <c r="K8" s="42"/>
      <c r="L8" s="42"/>
      <c r="M8" s="42"/>
      <c r="N8" s="42"/>
      <c r="O8" s="42"/>
      <c r="P8" s="42"/>
      <c r="Q8" s="42"/>
      <c r="R8" s="42"/>
      <c r="S8" s="42"/>
      <c r="T8" s="21"/>
      <c r="U8" s="16"/>
      <c r="V8" s="40"/>
      <c r="W8" s="42"/>
      <c r="X8" s="58"/>
    </row>
    <row r="9" spans="1:52" ht="15.75" x14ac:dyDescent="0.25">
      <c r="A9" s="55"/>
      <c r="B9" s="42"/>
      <c r="C9" s="42"/>
      <c r="D9" s="42"/>
      <c r="E9" s="42"/>
      <c r="F9" s="42"/>
      <c r="G9" s="42"/>
      <c r="H9" s="42"/>
      <c r="I9" s="42"/>
      <c r="J9" s="42"/>
      <c r="K9" s="42"/>
      <c r="L9" s="42"/>
      <c r="M9" s="42"/>
      <c r="N9" s="42"/>
      <c r="O9" s="42"/>
      <c r="P9" s="42"/>
      <c r="Q9" s="42"/>
      <c r="R9" s="42"/>
      <c r="S9" s="42"/>
      <c r="T9" s="22" t="str">
        <f>"Utgangsdose i " &amp; $U$11</f>
        <v>Utgangsdose i mg</v>
      </c>
      <c r="U9" s="2">
        <v>125</v>
      </c>
      <c r="V9" s="40"/>
      <c r="W9" s="42"/>
      <c r="X9" s="58"/>
    </row>
    <row r="10" spans="1:52" ht="15.75" x14ac:dyDescent="0.25">
      <c r="A10" s="55"/>
      <c r="B10" s="42"/>
      <c r="C10" s="42"/>
      <c r="D10" s="42"/>
      <c r="E10" s="42"/>
      <c r="F10" s="42"/>
      <c r="G10" s="42"/>
      <c r="H10" s="42"/>
      <c r="I10" s="42"/>
      <c r="J10" s="42"/>
      <c r="K10" s="42"/>
      <c r="L10" s="42"/>
      <c r="M10" s="42"/>
      <c r="N10" s="42"/>
      <c r="O10" s="42"/>
      <c r="P10" s="42"/>
      <c r="Q10" s="42"/>
      <c r="R10" s="42"/>
      <c r="S10" s="42"/>
      <c r="T10" s="21"/>
      <c r="U10" s="16"/>
      <c r="V10" s="40"/>
      <c r="W10" s="42"/>
      <c r="X10" s="58"/>
    </row>
    <row r="11" spans="1:52" ht="15.75" x14ac:dyDescent="0.25">
      <c r="A11" s="55"/>
      <c r="B11" s="42"/>
      <c r="C11" s="42"/>
      <c r="D11" s="42"/>
      <c r="E11" s="42"/>
      <c r="F11" s="42"/>
      <c r="G11" s="42"/>
      <c r="H11" s="42"/>
      <c r="I11" s="42"/>
      <c r="J11" s="42"/>
      <c r="K11" s="42"/>
      <c r="L11" s="42"/>
      <c r="M11" s="42"/>
      <c r="N11" s="42"/>
      <c r="O11" s="42"/>
      <c r="P11" s="42"/>
      <c r="Q11" s="42"/>
      <c r="R11" s="42"/>
      <c r="S11" s="42"/>
      <c r="T11" s="22" t="s">
        <v>13</v>
      </c>
      <c r="U11" s="2" t="s">
        <v>4</v>
      </c>
      <c r="V11" s="40"/>
      <c r="W11" s="42"/>
      <c r="X11" s="58"/>
    </row>
    <row r="12" spans="1:52" ht="15.75" x14ac:dyDescent="0.25">
      <c r="A12" s="55"/>
      <c r="B12" s="42"/>
      <c r="C12" s="42"/>
      <c r="D12" s="42"/>
      <c r="E12" s="42"/>
      <c r="F12" s="42"/>
      <c r="G12" s="42"/>
      <c r="H12" s="42"/>
      <c r="I12" s="42"/>
      <c r="J12" s="42"/>
      <c r="K12" s="42"/>
      <c r="L12" s="42"/>
      <c r="M12" s="42"/>
      <c r="N12" s="42"/>
      <c r="O12" s="42"/>
      <c r="P12" s="42"/>
      <c r="Q12" s="42"/>
      <c r="R12" s="42"/>
      <c r="S12" s="42"/>
      <c r="T12" s="21"/>
      <c r="U12" s="16"/>
      <c r="V12" s="40"/>
      <c r="W12" s="42"/>
      <c r="X12" s="58"/>
    </row>
    <row r="13" spans="1:52" ht="15.75" x14ac:dyDescent="0.25">
      <c r="A13" s="55"/>
      <c r="B13" s="42"/>
      <c r="C13" s="42"/>
      <c r="D13" s="42"/>
      <c r="E13" s="42"/>
      <c r="F13" s="42"/>
      <c r="G13" s="42"/>
      <c r="H13" s="42"/>
      <c r="I13" s="42"/>
      <c r="J13" s="42"/>
      <c r="K13" s="42"/>
      <c r="L13" s="42"/>
      <c r="M13" s="42"/>
      <c r="N13" s="42"/>
      <c r="O13" s="42"/>
      <c r="P13" s="42"/>
      <c r="Q13" s="42"/>
      <c r="R13" s="42"/>
      <c r="S13" s="42"/>
      <c r="T13" s="22" t="str">
        <f>$U$11 &amp; " per tablett"</f>
        <v>mg per tablett</v>
      </c>
      <c r="U13" s="2">
        <v>10</v>
      </c>
      <c r="V13" s="40"/>
      <c r="W13" s="42"/>
      <c r="X13" s="58"/>
    </row>
    <row r="14" spans="1:52" ht="15.75" x14ac:dyDescent="0.25">
      <c r="A14" s="55"/>
      <c r="B14" s="42"/>
      <c r="C14" s="42"/>
      <c r="D14" s="42"/>
      <c r="E14" s="42"/>
      <c r="F14" s="42"/>
      <c r="G14" s="42"/>
      <c r="H14" s="42"/>
      <c r="I14" s="42"/>
      <c r="J14" s="42"/>
      <c r="K14" s="42"/>
      <c r="L14" s="42"/>
      <c r="M14" s="42"/>
      <c r="N14" s="42"/>
      <c r="O14" s="42"/>
      <c r="P14" s="42"/>
      <c r="Q14" s="42"/>
      <c r="R14" s="42"/>
      <c r="S14" s="42"/>
      <c r="T14" s="21"/>
      <c r="U14" s="16"/>
      <c r="V14" s="40"/>
      <c r="W14" s="42"/>
      <c r="X14" s="58"/>
    </row>
    <row r="15" spans="1:52" ht="15.75" x14ac:dyDescent="0.25">
      <c r="A15" s="55"/>
      <c r="B15" s="42"/>
      <c r="C15" s="42"/>
      <c r="D15" s="42"/>
      <c r="E15" s="42"/>
      <c r="F15" s="42"/>
      <c r="G15" s="42"/>
      <c r="H15" s="42"/>
      <c r="I15" s="42"/>
      <c r="J15" s="42"/>
      <c r="K15" s="42"/>
      <c r="L15" s="42"/>
      <c r="M15" s="42"/>
      <c r="N15" s="42"/>
      <c r="O15" s="42"/>
      <c r="P15" s="42"/>
      <c r="Q15" s="42"/>
      <c r="R15" s="42"/>
      <c r="S15" s="42"/>
      <c r="T15" s="22" t="s">
        <v>14</v>
      </c>
      <c r="U15" s="2">
        <v>7</v>
      </c>
      <c r="V15" s="40"/>
      <c r="W15" s="42"/>
      <c r="X15" s="58"/>
    </row>
    <row r="16" spans="1:52" ht="15.75" x14ac:dyDescent="0.25">
      <c r="A16" s="55"/>
      <c r="B16" s="42"/>
      <c r="C16" s="42"/>
      <c r="D16" s="42"/>
      <c r="E16" s="42"/>
      <c r="F16" s="42"/>
      <c r="G16" s="42"/>
      <c r="H16" s="42"/>
      <c r="I16" s="42"/>
      <c r="J16" s="42"/>
      <c r="K16" s="42"/>
      <c r="L16" s="42"/>
      <c r="M16" s="42"/>
      <c r="N16" s="42"/>
      <c r="O16" s="42"/>
      <c r="P16" s="42"/>
      <c r="Q16" s="42"/>
      <c r="R16" s="42"/>
      <c r="S16" s="42"/>
      <c r="T16" s="22"/>
      <c r="U16" s="17"/>
      <c r="V16" s="40"/>
      <c r="W16" s="42"/>
      <c r="X16" s="58"/>
    </row>
    <row r="17" spans="1:52" ht="15.75" x14ac:dyDescent="0.25">
      <c r="A17" s="55"/>
      <c r="B17" s="42"/>
      <c r="C17" s="42"/>
      <c r="D17" s="42"/>
      <c r="E17" s="42"/>
      <c r="F17" s="42"/>
      <c r="G17" s="42"/>
      <c r="H17" s="42"/>
      <c r="I17" s="42"/>
      <c r="J17" s="42"/>
      <c r="K17" s="42"/>
      <c r="L17" s="42"/>
      <c r="M17" s="42"/>
      <c r="N17" s="42"/>
      <c r="O17" s="42"/>
      <c r="P17" s="42"/>
      <c r="Q17" s="42"/>
      <c r="R17" s="42"/>
      <c r="S17" s="42"/>
      <c r="T17" s="22" t="s">
        <v>15</v>
      </c>
      <c r="U17" s="2">
        <v>20</v>
      </c>
      <c r="V17" s="40"/>
      <c r="W17" s="42"/>
      <c r="X17" s="58"/>
    </row>
    <row r="18" spans="1:52" ht="15.75" x14ac:dyDescent="0.25">
      <c r="A18" s="55"/>
      <c r="B18" s="42"/>
      <c r="C18" s="42"/>
      <c r="D18" s="42"/>
      <c r="E18" s="42"/>
      <c r="F18" s="42"/>
      <c r="G18" s="42"/>
      <c r="H18" s="42"/>
      <c r="I18" s="42"/>
      <c r="J18" s="42"/>
      <c r="K18" s="42"/>
      <c r="L18" s="42"/>
      <c r="M18" s="42"/>
      <c r="N18" s="42"/>
      <c r="O18" s="42"/>
      <c r="P18" s="42"/>
      <c r="Q18" s="42"/>
      <c r="R18" s="42"/>
      <c r="S18" s="42"/>
      <c r="T18" s="22"/>
      <c r="U18" s="20"/>
      <c r="V18" s="40"/>
      <c r="W18" s="42"/>
      <c r="X18" s="58"/>
    </row>
    <row r="19" spans="1:52" ht="15.75" x14ac:dyDescent="0.25">
      <c r="A19" s="55"/>
      <c r="B19" s="42"/>
      <c r="C19" s="42"/>
      <c r="D19" s="42"/>
      <c r="E19" s="42"/>
      <c r="F19" s="42"/>
      <c r="G19" s="42"/>
      <c r="H19" s="42"/>
      <c r="I19" s="42"/>
      <c r="J19" s="42"/>
      <c r="K19" s="42"/>
      <c r="L19" s="42"/>
      <c r="M19" s="42"/>
      <c r="N19" s="42"/>
      <c r="O19" s="42"/>
      <c r="P19" s="42"/>
      <c r="Q19" s="42"/>
      <c r="R19" s="42"/>
      <c r="S19" s="42"/>
      <c r="T19" s="22" t="s">
        <v>11</v>
      </c>
      <c r="U19" s="76">
        <v>43511</v>
      </c>
      <c r="V19" s="40"/>
      <c r="W19" s="42"/>
      <c r="X19" s="58"/>
    </row>
    <row r="20" spans="1:52" x14ac:dyDescent="0.25">
      <c r="A20" s="55"/>
      <c r="B20" s="42"/>
      <c r="C20" s="42"/>
      <c r="D20" s="42"/>
      <c r="E20" s="42"/>
      <c r="F20" s="42"/>
      <c r="G20" s="42"/>
      <c r="H20" s="42"/>
      <c r="I20" s="42"/>
      <c r="J20" s="42"/>
      <c r="K20" s="42"/>
      <c r="L20" s="42"/>
      <c r="M20" s="42"/>
      <c r="N20" s="42"/>
      <c r="O20" s="42"/>
      <c r="P20" s="42"/>
      <c r="Q20" s="42"/>
      <c r="R20" s="42"/>
      <c r="S20" s="42"/>
      <c r="T20" s="4"/>
      <c r="U20" s="16"/>
      <c r="V20" s="40"/>
      <c r="W20" s="42"/>
      <c r="X20" s="58"/>
    </row>
    <row r="21" spans="1:52" ht="15.75" thickBot="1" x14ac:dyDescent="0.3">
      <c r="A21" s="55"/>
      <c r="B21" s="42"/>
      <c r="C21" s="42"/>
      <c r="D21" s="42"/>
      <c r="E21" s="42"/>
      <c r="F21" s="42"/>
      <c r="G21" s="42"/>
      <c r="H21" s="42"/>
      <c r="I21" s="42"/>
      <c r="J21" s="42"/>
      <c r="K21" s="42"/>
      <c r="L21" s="42"/>
      <c r="M21" s="42"/>
      <c r="N21" s="42"/>
      <c r="O21" s="42"/>
      <c r="P21" s="42"/>
      <c r="Q21" s="42"/>
      <c r="R21" s="42"/>
      <c r="S21" s="42"/>
      <c r="T21" s="5" t="s">
        <v>20</v>
      </c>
      <c r="U21" s="18"/>
      <c r="V21" s="40"/>
      <c r="W21" s="42"/>
      <c r="X21" s="58"/>
    </row>
    <row r="22" spans="1:52" x14ac:dyDescent="0.25">
      <c r="A22" s="55"/>
      <c r="B22" s="42"/>
      <c r="C22" s="42"/>
      <c r="D22" s="42"/>
      <c r="E22" s="42"/>
      <c r="F22" s="42"/>
      <c r="G22" s="42"/>
      <c r="H22" s="42"/>
      <c r="I22" s="42"/>
      <c r="J22" s="42"/>
      <c r="K22" s="42"/>
      <c r="L22" s="42"/>
      <c r="M22" s="42"/>
      <c r="N22" s="42"/>
      <c r="O22" s="42"/>
      <c r="P22" s="42"/>
      <c r="Q22" s="42"/>
      <c r="R22" s="42"/>
      <c r="S22" s="42"/>
      <c r="T22" s="42"/>
      <c r="U22" s="42"/>
      <c r="V22" s="41"/>
      <c r="W22" s="42"/>
      <c r="X22" s="58"/>
    </row>
    <row r="23" spans="1:52" x14ac:dyDescent="0.25">
      <c r="A23" s="55"/>
      <c r="B23" s="42"/>
      <c r="C23" s="42"/>
      <c r="D23" s="42"/>
      <c r="E23" s="42"/>
      <c r="F23" s="42"/>
      <c r="G23" s="42"/>
      <c r="H23" s="42"/>
      <c r="I23" s="42"/>
      <c r="J23" s="42"/>
      <c r="K23" s="42"/>
      <c r="L23" s="42"/>
      <c r="M23" s="42"/>
      <c r="N23" s="42"/>
      <c r="O23" s="42"/>
      <c r="P23" s="42"/>
      <c r="Q23" s="42"/>
      <c r="R23" s="42"/>
      <c r="S23" s="42"/>
      <c r="T23" s="42"/>
      <c r="U23" s="42"/>
      <c r="V23" s="42"/>
      <c r="W23" s="42"/>
      <c r="X23" s="58"/>
    </row>
    <row r="24" spans="1:52" x14ac:dyDescent="0.25">
      <c r="A24" s="55"/>
      <c r="B24" s="42"/>
      <c r="C24" s="42"/>
      <c r="D24" s="42"/>
      <c r="E24" s="42"/>
      <c r="F24" s="42"/>
      <c r="G24" s="42"/>
      <c r="H24" s="42"/>
      <c r="I24" s="42"/>
      <c r="J24" s="42"/>
      <c r="K24" s="42"/>
      <c r="L24" s="42"/>
      <c r="M24" s="42"/>
      <c r="N24" s="42"/>
      <c r="O24" s="42"/>
      <c r="P24" s="42"/>
      <c r="Q24" s="42"/>
      <c r="R24" s="42"/>
      <c r="S24" s="42"/>
      <c r="T24" s="42"/>
      <c r="U24" s="42"/>
      <c r="V24" s="42"/>
      <c r="W24" s="42"/>
      <c r="X24" s="58"/>
    </row>
    <row r="25" spans="1:52" x14ac:dyDescent="0.25">
      <c r="A25" s="55"/>
      <c r="B25" s="42"/>
      <c r="C25" s="42"/>
      <c r="D25" s="42"/>
      <c r="E25" s="42"/>
      <c r="F25" s="42"/>
      <c r="G25" s="42"/>
      <c r="H25" s="42"/>
      <c r="I25" s="42"/>
      <c r="J25" s="42"/>
      <c r="K25" s="42"/>
      <c r="L25" s="42"/>
      <c r="M25" s="42"/>
      <c r="N25" s="42"/>
      <c r="O25" s="42"/>
      <c r="P25" s="42"/>
      <c r="Q25" s="42"/>
      <c r="R25" s="42"/>
      <c r="S25" s="42"/>
      <c r="T25" s="42"/>
      <c r="U25" s="42"/>
      <c r="V25" s="42"/>
      <c r="W25" s="42"/>
      <c r="X25" s="58"/>
    </row>
    <row r="26" spans="1:52" x14ac:dyDescent="0.25">
      <c r="A26" s="55"/>
      <c r="B26" s="42"/>
      <c r="C26" s="42"/>
      <c r="D26" s="42"/>
      <c r="E26" s="42"/>
      <c r="F26" s="42"/>
      <c r="G26" s="42"/>
      <c r="H26" s="42"/>
      <c r="I26" s="42"/>
      <c r="J26" s="42"/>
      <c r="K26" s="42"/>
      <c r="L26" s="42"/>
      <c r="M26" s="42"/>
      <c r="N26" s="42"/>
      <c r="O26" s="42"/>
      <c r="P26" s="42"/>
      <c r="Q26" s="42"/>
      <c r="R26" s="42"/>
      <c r="S26" s="42"/>
      <c r="T26" s="42"/>
      <c r="U26" s="42"/>
      <c r="V26" s="42"/>
      <c r="W26" s="42"/>
      <c r="X26" s="58"/>
    </row>
    <row r="27" spans="1:52" x14ac:dyDescent="0.25">
      <c r="A27" s="55"/>
      <c r="B27" s="42"/>
      <c r="C27" s="42"/>
      <c r="D27" s="42"/>
      <c r="E27" s="42"/>
      <c r="F27" s="42"/>
      <c r="G27" s="42"/>
      <c r="H27" s="42"/>
      <c r="I27" s="42"/>
      <c r="J27" s="42"/>
      <c r="K27" s="42"/>
      <c r="L27" s="42"/>
      <c r="M27" s="42"/>
      <c r="N27" s="42"/>
      <c r="O27" s="42"/>
      <c r="P27" s="42"/>
      <c r="Q27" s="42"/>
      <c r="R27" s="42"/>
      <c r="S27" s="42"/>
      <c r="T27" s="42"/>
      <c r="U27" s="42"/>
      <c r="V27" s="42"/>
      <c r="W27" s="42"/>
      <c r="X27" s="58"/>
    </row>
    <row r="28" spans="1:52" x14ac:dyDescent="0.25">
      <c r="A28" s="55"/>
      <c r="B28" s="42"/>
      <c r="C28" s="42"/>
      <c r="D28" s="42"/>
      <c r="E28" s="42"/>
      <c r="F28" s="42"/>
      <c r="G28" s="42"/>
      <c r="H28" s="42"/>
      <c r="I28" s="42"/>
      <c r="J28" s="42"/>
      <c r="K28" s="42"/>
      <c r="L28" s="42"/>
      <c r="M28" s="42"/>
      <c r="N28" s="42"/>
      <c r="O28" s="42"/>
      <c r="P28" s="42"/>
      <c r="Q28" s="42"/>
      <c r="R28" s="42"/>
      <c r="S28" s="42"/>
      <c r="T28" s="42"/>
      <c r="U28" s="42"/>
      <c r="V28" s="42"/>
      <c r="W28" s="42"/>
      <c r="X28" s="58"/>
    </row>
    <row r="29" spans="1:52" ht="18.75" x14ac:dyDescent="0.3">
      <c r="A29" s="55"/>
      <c r="B29" s="43"/>
      <c r="C29" s="42"/>
      <c r="D29" s="44"/>
      <c r="E29" s="42"/>
      <c r="F29" s="42"/>
      <c r="G29" s="59"/>
      <c r="H29" s="42"/>
      <c r="I29" s="42"/>
      <c r="J29" s="42"/>
      <c r="K29" s="42"/>
      <c r="L29" s="42"/>
      <c r="M29" s="42"/>
      <c r="N29" s="42"/>
      <c r="O29" s="42"/>
      <c r="P29" s="42"/>
      <c r="Q29" s="42"/>
      <c r="R29" s="42"/>
      <c r="S29" s="42"/>
      <c r="T29" s="42"/>
      <c r="U29" s="42"/>
      <c r="V29" s="42"/>
      <c r="W29" s="42"/>
      <c r="X29" s="58"/>
    </row>
    <row r="30" spans="1:52" s="7" customFormat="1" ht="20.25" customHeight="1" thickBot="1" x14ac:dyDescent="0.35">
      <c r="A30" s="60"/>
      <c r="B30" s="261" t="s">
        <v>23</v>
      </c>
      <c r="C30" s="261"/>
      <c r="D30" s="261"/>
      <c r="E30" s="61"/>
      <c r="F30" s="61"/>
      <c r="G30" s="61"/>
      <c r="H30" s="61"/>
      <c r="I30" s="61"/>
      <c r="J30" s="61"/>
      <c r="K30" s="61"/>
      <c r="L30" s="61"/>
      <c r="M30" s="61"/>
      <c r="N30" s="61"/>
      <c r="O30" s="61"/>
      <c r="P30" s="61"/>
      <c r="Q30" s="61"/>
      <c r="R30" s="61"/>
      <c r="S30" s="61"/>
      <c r="T30" s="61"/>
      <c r="U30" s="61"/>
      <c r="V30" s="42"/>
      <c r="W30" s="61"/>
      <c r="X30" s="62"/>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ht="18" customHeight="1" thickBot="1" x14ac:dyDescent="0.3">
      <c r="A31" s="55"/>
      <c r="B31" s="10" t="s">
        <v>1</v>
      </c>
      <c r="C31" s="9" t="s">
        <v>0</v>
      </c>
      <c r="D31" s="75">
        <f>$U19</f>
        <v>43511</v>
      </c>
      <c r="E31" s="75">
        <f>D31+$U15</f>
        <v>43518</v>
      </c>
      <c r="F31" s="75">
        <f t="shared" ref="F31:S31" si="0">E31+$U15</f>
        <v>43525</v>
      </c>
      <c r="G31" s="75">
        <f t="shared" si="0"/>
        <v>43532</v>
      </c>
      <c r="H31" s="75">
        <f t="shared" si="0"/>
        <v>43539</v>
      </c>
      <c r="I31" s="75">
        <f t="shared" si="0"/>
        <v>43546</v>
      </c>
      <c r="J31" s="75">
        <f t="shared" si="0"/>
        <v>43553</v>
      </c>
      <c r="K31" s="75">
        <f t="shared" si="0"/>
        <v>43560</v>
      </c>
      <c r="L31" s="75">
        <f t="shared" si="0"/>
        <v>43567</v>
      </c>
      <c r="M31" s="75">
        <f t="shared" si="0"/>
        <v>43574</v>
      </c>
      <c r="N31" s="75">
        <f t="shared" si="0"/>
        <v>43581</v>
      </c>
      <c r="O31" s="75">
        <f t="shared" si="0"/>
        <v>43588</v>
      </c>
      <c r="P31" s="75">
        <f t="shared" si="0"/>
        <v>43595</v>
      </c>
      <c r="Q31" s="75">
        <f t="shared" si="0"/>
        <v>43602</v>
      </c>
      <c r="R31" s="75">
        <f t="shared" si="0"/>
        <v>43609</v>
      </c>
      <c r="S31" s="75">
        <f t="shared" si="0"/>
        <v>43616</v>
      </c>
      <c r="T31" s="26"/>
      <c r="U31" s="27" t="s">
        <v>6</v>
      </c>
      <c r="V31" s="28" t="s">
        <v>9</v>
      </c>
      <c r="W31" s="29"/>
      <c r="X31" s="58"/>
    </row>
    <row r="32" spans="1:52" ht="31.5" customHeight="1" thickBot="1" x14ac:dyDescent="0.3">
      <c r="A32" s="55"/>
      <c r="B32" s="11" t="str">
        <f>"Nøyaktig dose i  " &amp; $U$11</f>
        <v>Nøyaktig dose i  mg</v>
      </c>
      <c r="C32" s="74">
        <f>U9</f>
        <v>125</v>
      </c>
      <c r="D32" s="32">
        <f t="shared" ref="D32:S32" si="1">ROUND((C32-C32*$U$17%),1)</f>
        <v>100</v>
      </c>
      <c r="E32" s="32">
        <f t="shared" si="1"/>
        <v>80</v>
      </c>
      <c r="F32" s="32">
        <f t="shared" si="1"/>
        <v>64</v>
      </c>
      <c r="G32" s="32">
        <f t="shared" si="1"/>
        <v>51.2</v>
      </c>
      <c r="H32" s="32">
        <f t="shared" si="1"/>
        <v>41</v>
      </c>
      <c r="I32" s="32">
        <f t="shared" si="1"/>
        <v>32.799999999999997</v>
      </c>
      <c r="J32" s="32">
        <f t="shared" si="1"/>
        <v>26.2</v>
      </c>
      <c r="K32" s="32">
        <f t="shared" si="1"/>
        <v>21</v>
      </c>
      <c r="L32" s="32">
        <f t="shared" si="1"/>
        <v>16.8</v>
      </c>
      <c r="M32" s="32">
        <f t="shared" si="1"/>
        <v>13.4</v>
      </c>
      <c r="N32" s="32">
        <f t="shared" si="1"/>
        <v>10.7</v>
      </c>
      <c r="O32" s="32">
        <f t="shared" si="1"/>
        <v>8.6</v>
      </c>
      <c r="P32" s="32">
        <f t="shared" si="1"/>
        <v>6.9</v>
      </c>
      <c r="Q32" s="32">
        <f t="shared" si="1"/>
        <v>5.5</v>
      </c>
      <c r="R32" s="32">
        <f t="shared" si="1"/>
        <v>4.4000000000000004</v>
      </c>
      <c r="S32" s="32">
        <f t="shared" si="1"/>
        <v>3.5</v>
      </c>
      <c r="T32" s="12" t="s">
        <v>5</v>
      </c>
      <c r="U32" s="25"/>
      <c r="V32" s="13">
        <f>SUM(D32:S32)*$U15</f>
        <v>3401.9999999999995</v>
      </c>
      <c r="W32" s="19" t="str">
        <f>$U11</f>
        <v>mg</v>
      </c>
      <c r="X32" s="58"/>
    </row>
    <row r="33" spans="1:24" ht="30" customHeight="1" thickBot="1" x14ac:dyDescent="0.3">
      <c r="A33" s="55"/>
      <c r="B33" s="30" t="str">
        <f>"Antall tabletter per dag når det er valgt " &amp;$U15&amp;" dager lange trinn"</f>
        <v>Antall tabletter per dag når det er valgt 7 dager lange trinn</v>
      </c>
      <c r="C33" s="33">
        <f>+C32/$U$13</f>
        <v>12.5</v>
      </c>
      <c r="D33" s="34">
        <f t="shared" ref="D33:S33" si="2">ROUND(IF(D32/$U$13&lt;=0.75,0,IF(D32/$U$13&lt;1,0.5,D32/$U$13)),1)</f>
        <v>10</v>
      </c>
      <c r="E33" s="34">
        <f t="shared" si="2"/>
        <v>8</v>
      </c>
      <c r="F33" s="34">
        <f t="shared" si="2"/>
        <v>6.4</v>
      </c>
      <c r="G33" s="34">
        <f t="shared" si="2"/>
        <v>5.0999999999999996</v>
      </c>
      <c r="H33" s="34">
        <f t="shared" si="2"/>
        <v>4.0999999999999996</v>
      </c>
      <c r="I33" s="34">
        <f t="shared" si="2"/>
        <v>3.3</v>
      </c>
      <c r="J33" s="34">
        <f t="shared" si="2"/>
        <v>2.6</v>
      </c>
      <c r="K33" s="34">
        <f t="shared" si="2"/>
        <v>2.1</v>
      </c>
      <c r="L33" s="34">
        <f t="shared" si="2"/>
        <v>1.7</v>
      </c>
      <c r="M33" s="34">
        <f t="shared" si="2"/>
        <v>1.3</v>
      </c>
      <c r="N33" s="34">
        <f t="shared" si="2"/>
        <v>1.1000000000000001</v>
      </c>
      <c r="O33" s="34">
        <f t="shared" si="2"/>
        <v>0.5</v>
      </c>
      <c r="P33" s="34">
        <f t="shared" si="2"/>
        <v>0</v>
      </c>
      <c r="Q33" s="34">
        <f t="shared" si="2"/>
        <v>0</v>
      </c>
      <c r="R33" s="34">
        <f t="shared" si="2"/>
        <v>0</v>
      </c>
      <c r="S33" s="34">
        <f t="shared" si="2"/>
        <v>0</v>
      </c>
      <c r="T33" s="12" t="s">
        <v>7</v>
      </c>
      <c r="U33" s="14" t="str">
        <f>$U13&amp;"  "&amp;$U11</f>
        <v>10  mg</v>
      </c>
      <c r="V33" s="15">
        <f>SUM(D33:S33)*U15</f>
        <v>323.40000000000003</v>
      </c>
      <c r="W33" s="19" t="s">
        <v>2</v>
      </c>
      <c r="X33" s="58"/>
    </row>
    <row r="34" spans="1:24" ht="30" customHeight="1" thickBot="1" x14ac:dyDescent="0.3">
      <c r="A34" s="55"/>
      <c r="B34" s="31" t="s">
        <v>18</v>
      </c>
      <c r="C34" s="35">
        <f>SUM(C33*U15)</f>
        <v>87.5</v>
      </c>
      <c r="D34" s="35">
        <f>SUM(D33*U15)</f>
        <v>70</v>
      </c>
      <c r="E34" s="35">
        <f>SUM(E33*U15)</f>
        <v>56</v>
      </c>
      <c r="F34" s="35">
        <f>SUM(F33*U15)</f>
        <v>44.800000000000004</v>
      </c>
      <c r="G34" s="35">
        <f>SUM(G33*U15)</f>
        <v>35.699999999999996</v>
      </c>
      <c r="H34" s="35">
        <f>SUM(H33*U15)</f>
        <v>28.699999999999996</v>
      </c>
      <c r="I34" s="35">
        <f>SUM(I33*U15)</f>
        <v>23.099999999999998</v>
      </c>
      <c r="J34" s="35">
        <f>SUM(J33*U15)</f>
        <v>18.2</v>
      </c>
      <c r="K34" s="35">
        <f>SUM(K33*U15)</f>
        <v>14.700000000000001</v>
      </c>
      <c r="L34" s="35">
        <f>SUM(L33*U15)</f>
        <v>11.9</v>
      </c>
      <c r="M34" s="35">
        <f>SUM(M33*U15)</f>
        <v>9.1</v>
      </c>
      <c r="N34" s="35">
        <f>SUM(N33*U15)</f>
        <v>7.7000000000000011</v>
      </c>
      <c r="O34" s="35">
        <f>SUM(O33*U15)</f>
        <v>3.5</v>
      </c>
      <c r="P34" s="35">
        <f>SUM(P33*U15)</f>
        <v>0</v>
      </c>
      <c r="Q34" s="35">
        <f>SUM(Q33*U15)</f>
        <v>0</v>
      </c>
      <c r="R34" s="35">
        <f>SUM(R33*U15)</f>
        <v>0</v>
      </c>
      <c r="S34" s="36">
        <f>SUM(S33*U15)</f>
        <v>0</v>
      </c>
      <c r="T34" s="42"/>
      <c r="U34" s="42"/>
      <c r="V34" s="42"/>
      <c r="W34" s="42"/>
      <c r="X34" s="58"/>
    </row>
    <row r="35" spans="1:24" ht="30" customHeight="1" x14ac:dyDescent="0.25">
      <c r="A35" s="55"/>
      <c r="B35" s="45"/>
      <c r="C35" s="46"/>
      <c r="D35" s="46"/>
      <c r="E35" s="46"/>
      <c r="F35" s="46"/>
      <c r="G35" s="46"/>
      <c r="H35" s="46"/>
      <c r="I35" s="46"/>
      <c r="J35" s="46"/>
      <c r="K35" s="46"/>
      <c r="L35" s="46"/>
      <c r="M35" s="46"/>
      <c r="N35" s="46"/>
      <c r="O35" s="46"/>
      <c r="P35" s="46"/>
      <c r="Q35" s="46"/>
      <c r="R35" s="46"/>
      <c r="S35" s="46"/>
      <c r="T35" s="42"/>
      <c r="U35" s="42"/>
      <c r="V35" s="42"/>
      <c r="W35" s="42"/>
      <c r="X35" s="58"/>
    </row>
    <row r="36" spans="1:24" ht="39" customHeight="1" x14ac:dyDescent="0.3">
      <c r="A36" s="55"/>
      <c r="B36" s="260" t="s">
        <v>24</v>
      </c>
      <c r="C36" s="260"/>
      <c r="D36" s="260"/>
      <c r="E36" s="260"/>
      <c r="F36" s="260"/>
      <c r="G36" s="260"/>
      <c r="H36" s="260"/>
      <c r="I36" s="260"/>
      <c r="J36" s="260"/>
      <c r="K36" s="260"/>
      <c r="L36" s="64" t="str">
        <f>U7</f>
        <v>Sobril</v>
      </c>
      <c r="M36" s="64">
        <f>U13</f>
        <v>10</v>
      </c>
      <c r="N36" s="73" t="str">
        <f>U11</f>
        <v>mg</v>
      </c>
      <c r="O36" s="63"/>
      <c r="P36" s="63"/>
      <c r="Q36" s="63"/>
      <c r="R36" s="42"/>
      <c r="S36" s="42"/>
      <c r="T36" s="42"/>
      <c r="U36" s="42"/>
      <c r="V36" s="42"/>
      <c r="W36" s="42"/>
      <c r="X36" s="58"/>
    </row>
    <row r="37" spans="1:24" x14ac:dyDescent="0.25">
      <c r="A37" s="55"/>
      <c r="B37" s="42"/>
      <c r="C37" s="42"/>
      <c r="D37" s="65"/>
      <c r="E37" s="65"/>
      <c r="F37" s="65"/>
      <c r="G37" s="65"/>
      <c r="H37" s="65"/>
      <c r="I37" s="65"/>
      <c r="J37" s="65"/>
      <c r="K37" s="65"/>
      <c r="L37" s="65"/>
      <c r="M37" s="65"/>
      <c r="N37" s="65"/>
      <c r="O37" s="65"/>
      <c r="P37" s="65"/>
      <c r="Q37" s="42"/>
      <c r="R37" s="42"/>
      <c r="S37" s="42"/>
      <c r="T37" s="42"/>
      <c r="U37" s="42"/>
      <c r="V37" s="42"/>
      <c r="W37" s="42"/>
      <c r="X37" s="58"/>
    </row>
    <row r="38" spans="1:24" x14ac:dyDescent="0.25">
      <c r="A38" s="55"/>
      <c r="B38" s="42"/>
      <c r="C38" s="42"/>
      <c r="D38" s="65"/>
      <c r="E38" s="65"/>
      <c r="F38" s="65"/>
      <c r="G38" s="65"/>
      <c r="H38" s="65"/>
      <c r="I38" s="65"/>
      <c r="J38" s="65"/>
      <c r="K38" s="65"/>
      <c r="L38" s="65"/>
      <c r="M38" s="65"/>
      <c r="N38" s="65"/>
      <c r="O38" s="65"/>
      <c r="P38" s="65"/>
      <c r="Q38" s="42"/>
      <c r="R38" s="42"/>
      <c r="S38" s="42"/>
      <c r="T38" s="42"/>
      <c r="U38" s="42"/>
      <c r="V38" s="42"/>
      <c r="W38" s="42"/>
      <c r="X38" s="58"/>
    </row>
    <row r="39" spans="1:24" x14ac:dyDescent="0.25">
      <c r="A39" s="55"/>
      <c r="B39" s="42"/>
      <c r="C39" s="42"/>
      <c r="D39" s="65"/>
      <c r="E39" s="65"/>
      <c r="F39" s="65"/>
      <c r="G39" s="65"/>
      <c r="H39" s="65"/>
      <c r="I39" s="65"/>
      <c r="J39" s="65"/>
      <c r="K39" s="65"/>
      <c r="L39" s="65"/>
      <c r="M39" s="65"/>
      <c r="N39" s="65"/>
      <c r="O39" s="65"/>
      <c r="P39" s="65"/>
      <c r="Q39" s="42"/>
      <c r="R39" s="42"/>
      <c r="S39" s="42"/>
      <c r="T39" s="42"/>
      <c r="U39" s="42"/>
      <c r="V39" s="42"/>
      <c r="W39" s="42"/>
      <c r="X39" s="58"/>
    </row>
    <row r="40" spans="1:24" x14ac:dyDescent="0.25">
      <c r="A40" s="55"/>
      <c r="B40" s="42"/>
      <c r="C40" s="42"/>
      <c r="D40" s="65"/>
      <c r="E40" s="65"/>
      <c r="F40" s="65"/>
      <c r="G40" s="65"/>
      <c r="H40" s="65"/>
      <c r="I40" s="65"/>
      <c r="J40" s="65"/>
      <c r="K40" s="65"/>
      <c r="L40" s="65"/>
      <c r="M40" s="65"/>
      <c r="N40" s="65"/>
      <c r="O40" s="65"/>
      <c r="P40" s="65"/>
      <c r="Q40" s="42"/>
      <c r="R40" s="42"/>
      <c r="S40" s="42"/>
      <c r="T40" s="42"/>
      <c r="U40" s="42"/>
      <c r="V40" s="42"/>
      <c r="W40" s="42"/>
      <c r="X40" s="58"/>
    </row>
    <row r="41" spans="1:24" x14ac:dyDescent="0.25">
      <c r="A41" s="55"/>
      <c r="B41" s="42"/>
      <c r="C41" s="42"/>
      <c r="D41" s="65"/>
      <c r="E41" s="65"/>
      <c r="F41" s="65"/>
      <c r="G41" s="65"/>
      <c r="H41" s="65"/>
      <c r="I41" s="65"/>
      <c r="J41" s="65"/>
      <c r="K41" s="65"/>
      <c r="L41" s="65"/>
      <c r="M41" s="65"/>
      <c r="N41" s="65"/>
      <c r="O41" s="65"/>
      <c r="P41" s="65"/>
      <c r="Q41" s="42"/>
      <c r="R41" s="42"/>
      <c r="S41" s="42"/>
      <c r="T41" s="42"/>
      <c r="U41" s="42"/>
      <c r="V41" s="42"/>
      <c r="W41" s="42"/>
      <c r="X41" s="58"/>
    </row>
    <row r="42" spans="1:24" x14ac:dyDescent="0.25">
      <c r="A42" s="55"/>
      <c r="B42" s="42"/>
      <c r="C42" s="42"/>
      <c r="D42" s="65"/>
      <c r="E42" s="65"/>
      <c r="F42" s="65"/>
      <c r="G42" s="65"/>
      <c r="H42" s="65"/>
      <c r="I42" s="65"/>
      <c r="J42" s="65"/>
      <c r="K42" s="65"/>
      <c r="L42" s="65"/>
      <c r="M42" s="65"/>
      <c r="N42" s="65"/>
      <c r="O42" s="65"/>
      <c r="P42" s="65"/>
      <c r="Q42" s="42"/>
      <c r="R42" s="42"/>
      <c r="S42" s="42"/>
      <c r="T42" s="42"/>
      <c r="U42" s="42"/>
      <c r="V42" s="42"/>
      <c r="W42" s="42"/>
      <c r="X42" s="58"/>
    </row>
    <row r="43" spans="1:24" x14ac:dyDescent="0.25">
      <c r="A43" s="55"/>
      <c r="B43" s="42"/>
      <c r="C43" s="42"/>
      <c r="D43" s="65"/>
      <c r="E43" s="65"/>
      <c r="F43" s="65"/>
      <c r="G43" s="65"/>
      <c r="H43" s="65"/>
      <c r="I43" s="65"/>
      <c r="J43" s="65"/>
      <c r="K43" s="65"/>
      <c r="L43" s="65"/>
      <c r="M43" s="65"/>
      <c r="N43" s="65"/>
      <c r="O43" s="65"/>
      <c r="P43" s="65"/>
      <c r="Q43" s="42"/>
      <c r="R43" s="42"/>
      <c r="S43" s="42"/>
      <c r="T43" s="42"/>
      <c r="U43" s="42"/>
      <c r="V43" s="42"/>
      <c r="W43" s="42"/>
      <c r="X43" s="58"/>
    </row>
    <row r="44" spans="1:24" x14ac:dyDescent="0.25">
      <c r="A44" s="55"/>
      <c r="B44" s="42"/>
      <c r="C44" s="42"/>
      <c r="D44" s="65"/>
      <c r="E44" s="65"/>
      <c r="F44" s="65"/>
      <c r="G44" s="65"/>
      <c r="H44" s="65"/>
      <c r="I44" s="65"/>
      <c r="J44" s="65"/>
      <c r="K44" s="65"/>
      <c r="L44" s="65"/>
      <c r="M44" s="65"/>
      <c r="N44" s="65"/>
      <c r="O44" s="65"/>
      <c r="P44" s="65"/>
      <c r="Q44" s="42"/>
      <c r="R44" s="42"/>
      <c r="S44" s="42"/>
      <c r="T44" s="42"/>
      <c r="U44" s="42"/>
      <c r="V44" s="42"/>
      <c r="W44" s="42"/>
      <c r="X44" s="58"/>
    </row>
    <row r="45" spans="1:24" x14ac:dyDescent="0.25">
      <c r="A45" s="55"/>
      <c r="B45" s="42"/>
      <c r="C45" s="42"/>
      <c r="D45" s="65"/>
      <c r="E45" s="65"/>
      <c r="F45" s="65"/>
      <c r="G45" s="65"/>
      <c r="H45" s="65"/>
      <c r="I45" s="65"/>
      <c r="J45" s="65"/>
      <c r="K45" s="65"/>
      <c r="L45" s="65"/>
      <c r="M45" s="65"/>
      <c r="N45" s="65"/>
      <c r="O45" s="65"/>
      <c r="P45" s="65"/>
      <c r="Q45" s="42"/>
      <c r="R45" s="42"/>
      <c r="S45" s="42"/>
      <c r="T45" s="42"/>
      <c r="U45" s="42"/>
      <c r="V45" s="42"/>
      <c r="W45" s="42"/>
      <c r="X45" s="58"/>
    </row>
    <row r="46" spans="1:24" x14ac:dyDescent="0.25">
      <c r="A46" s="55"/>
      <c r="B46" s="42"/>
      <c r="C46" s="42"/>
      <c r="D46" s="65"/>
      <c r="E46" s="65"/>
      <c r="F46" s="65"/>
      <c r="G46" s="65"/>
      <c r="H46" s="65"/>
      <c r="I46" s="65"/>
      <c r="J46" s="65"/>
      <c r="K46" s="65"/>
      <c r="L46" s="65"/>
      <c r="M46" s="65"/>
      <c r="N46" s="65"/>
      <c r="O46" s="65"/>
      <c r="P46" s="65"/>
      <c r="Q46" s="42"/>
      <c r="R46" s="42"/>
      <c r="S46" s="42"/>
      <c r="T46" s="42"/>
      <c r="U46" s="42"/>
      <c r="V46" s="42"/>
      <c r="W46" s="42"/>
      <c r="X46" s="58"/>
    </row>
    <row r="47" spans="1:24" x14ac:dyDescent="0.25">
      <c r="A47" s="55"/>
      <c r="B47" s="42"/>
      <c r="C47" s="42"/>
      <c r="D47" s="65"/>
      <c r="E47" s="65"/>
      <c r="F47" s="65"/>
      <c r="G47" s="65"/>
      <c r="H47" s="65"/>
      <c r="I47" s="65"/>
      <c r="J47" s="65"/>
      <c r="K47" s="65"/>
      <c r="L47" s="65"/>
      <c r="M47" s="65"/>
      <c r="N47" s="65"/>
      <c r="O47" s="65"/>
      <c r="P47" s="65"/>
      <c r="Q47" s="42"/>
      <c r="R47" s="42"/>
      <c r="S47" s="42"/>
      <c r="T47" s="42"/>
      <c r="U47" s="42"/>
      <c r="V47" s="42"/>
      <c r="W47" s="42"/>
      <c r="X47" s="58"/>
    </row>
    <row r="48" spans="1:24" x14ac:dyDescent="0.25">
      <c r="A48" s="55"/>
      <c r="B48" s="42"/>
      <c r="C48" s="42"/>
      <c r="D48" s="65"/>
      <c r="E48" s="65"/>
      <c r="F48" s="65"/>
      <c r="G48" s="65"/>
      <c r="H48" s="65"/>
      <c r="I48" s="65"/>
      <c r="J48" s="65"/>
      <c r="K48" s="65"/>
      <c r="L48" s="65"/>
      <c r="M48" s="65"/>
      <c r="N48" s="65"/>
      <c r="O48" s="65"/>
      <c r="P48" s="65"/>
      <c r="Q48" s="42"/>
      <c r="R48" s="42"/>
      <c r="S48" s="42"/>
      <c r="T48" s="42"/>
      <c r="U48" s="42"/>
      <c r="V48" s="66"/>
      <c r="W48" s="42"/>
      <c r="X48" s="58"/>
    </row>
    <row r="49" spans="1:24" x14ac:dyDescent="0.25">
      <c r="A49" s="55"/>
      <c r="B49" s="42"/>
      <c r="C49" s="42"/>
      <c r="D49" s="42"/>
      <c r="E49" s="42"/>
      <c r="F49" s="42"/>
      <c r="G49" s="42"/>
      <c r="H49" s="42"/>
      <c r="I49" s="42"/>
      <c r="J49" s="42"/>
      <c r="K49" s="42"/>
      <c r="L49" s="42"/>
      <c r="M49" s="42"/>
      <c r="N49" s="42"/>
      <c r="O49" s="42"/>
      <c r="P49" s="42"/>
      <c r="Q49" s="42"/>
      <c r="R49" s="42"/>
      <c r="S49" s="42"/>
      <c r="T49" s="42"/>
      <c r="U49" s="42"/>
      <c r="V49" s="42"/>
      <c r="W49" s="42"/>
      <c r="X49" s="58"/>
    </row>
    <row r="50" spans="1:24" x14ac:dyDescent="0.25">
      <c r="A50" s="55"/>
      <c r="B50" s="42"/>
      <c r="C50" s="42"/>
      <c r="D50" s="42"/>
      <c r="E50" s="42"/>
      <c r="F50" s="42"/>
      <c r="G50" s="42"/>
      <c r="H50" s="42"/>
      <c r="I50" s="42"/>
      <c r="J50" s="42"/>
      <c r="K50" s="42"/>
      <c r="L50" s="42"/>
      <c r="M50" s="42"/>
      <c r="N50" s="42"/>
      <c r="O50" s="42"/>
      <c r="P50" s="42"/>
      <c r="Q50" s="42"/>
      <c r="R50" s="42"/>
      <c r="S50" s="42"/>
      <c r="T50" s="42"/>
      <c r="U50" s="42"/>
      <c r="V50" s="42"/>
      <c r="W50" s="42"/>
      <c r="X50" s="58"/>
    </row>
    <row r="51" spans="1:24" x14ac:dyDescent="0.25">
      <c r="A51" s="55"/>
      <c r="B51" s="42"/>
      <c r="C51" s="42"/>
      <c r="D51" s="42"/>
      <c r="E51" s="42"/>
      <c r="F51" s="42"/>
      <c r="G51" s="42"/>
      <c r="H51" s="42"/>
      <c r="I51" s="42"/>
      <c r="J51" s="42"/>
      <c r="K51" s="42"/>
      <c r="L51" s="42"/>
      <c r="M51" s="42"/>
      <c r="N51" s="42"/>
      <c r="O51" s="42"/>
      <c r="P51" s="42"/>
      <c r="Q51" s="42"/>
      <c r="R51" s="42"/>
      <c r="S51" s="42"/>
      <c r="T51" s="42"/>
      <c r="U51" s="42"/>
      <c r="V51" s="42"/>
      <c r="W51" s="42"/>
      <c r="X51" s="58"/>
    </row>
    <row r="52" spans="1:24" x14ac:dyDescent="0.25">
      <c r="A52" s="55"/>
      <c r="B52" s="42"/>
      <c r="C52" s="47"/>
      <c r="D52" s="42"/>
      <c r="E52" s="42"/>
      <c r="F52" s="42"/>
      <c r="G52" s="42"/>
      <c r="H52" s="42"/>
      <c r="I52" s="42"/>
      <c r="J52" s="42"/>
      <c r="K52" s="42"/>
      <c r="L52" s="42"/>
      <c r="M52" s="42"/>
      <c r="N52" s="42"/>
      <c r="O52" s="42"/>
      <c r="P52" s="42"/>
      <c r="Q52" s="42"/>
      <c r="R52" s="42"/>
      <c r="S52" s="42"/>
      <c r="T52" s="42"/>
      <c r="U52" s="42"/>
      <c r="V52" s="42"/>
      <c r="W52" s="42"/>
      <c r="X52" s="58"/>
    </row>
    <row r="53" spans="1:24" x14ac:dyDescent="0.25">
      <c r="A53" s="55"/>
      <c r="B53" s="42"/>
      <c r="C53" s="42"/>
      <c r="D53" s="42"/>
      <c r="E53" s="42"/>
      <c r="F53" s="42"/>
      <c r="G53" s="42"/>
      <c r="H53" s="42"/>
      <c r="I53" s="42"/>
      <c r="J53" s="42"/>
      <c r="K53" s="42"/>
      <c r="L53" s="42"/>
      <c r="M53" s="42"/>
      <c r="N53" s="42"/>
      <c r="O53" s="42"/>
      <c r="P53" s="42"/>
      <c r="Q53" s="42"/>
      <c r="R53" s="42"/>
      <c r="S53" s="42"/>
      <c r="T53" s="42"/>
      <c r="U53" s="42"/>
      <c r="V53" s="42"/>
      <c r="W53" s="42"/>
      <c r="X53" s="58"/>
    </row>
    <row r="54" spans="1:24" x14ac:dyDescent="0.25">
      <c r="A54" s="55"/>
      <c r="B54" s="42"/>
      <c r="C54" s="47"/>
      <c r="D54" s="42"/>
      <c r="E54" s="42"/>
      <c r="F54" s="42"/>
      <c r="G54" s="42"/>
      <c r="H54" s="42"/>
      <c r="I54" s="42"/>
      <c r="J54" s="42"/>
      <c r="K54" s="42"/>
      <c r="L54" s="42"/>
      <c r="M54" s="42"/>
      <c r="N54" s="42"/>
      <c r="O54" s="42"/>
      <c r="P54" s="42"/>
      <c r="Q54" s="42"/>
      <c r="R54" s="42"/>
      <c r="S54" s="42"/>
      <c r="T54" s="42"/>
      <c r="U54" s="42"/>
      <c r="V54" s="42"/>
      <c r="W54" s="42"/>
      <c r="X54" s="58"/>
    </row>
    <row r="55" spans="1:24" x14ac:dyDescent="0.25">
      <c r="A55" s="55"/>
      <c r="B55" s="42"/>
      <c r="C55" s="47"/>
      <c r="D55" s="42"/>
      <c r="E55" s="42"/>
      <c r="F55" s="42"/>
      <c r="G55" s="42"/>
      <c r="H55" s="42"/>
      <c r="I55" s="42"/>
      <c r="J55" s="42"/>
      <c r="K55" s="42"/>
      <c r="L55" s="42"/>
      <c r="M55" s="42"/>
      <c r="N55" s="42"/>
      <c r="O55" s="42"/>
      <c r="P55" s="42"/>
      <c r="Q55" s="42"/>
      <c r="R55" s="42"/>
      <c r="S55" s="42"/>
      <c r="T55" s="42"/>
      <c r="U55" s="42"/>
      <c r="V55" s="42"/>
      <c r="W55" s="42"/>
      <c r="X55" s="58"/>
    </row>
    <row r="56" spans="1:24" x14ac:dyDescent="0.25">
      <c r="A56" s="55"/>
      <c r="B56" s="42"/>
      <c r="C56" s="42"/>
      <c r="D56" s="42"/>
      <c r="E56" s="42"/>
      <c r="F56" s="42"/>
      <c r="G56" s="42"/>
      <c r="H56" s="42"/>
      <c r="I56" s="42"/>
      <c r="J56" s="42"/>
      <c r="K56" s="42"/>
      <c r="L56" s="42"/>
      <c r="M56" s="42"/>
      <c r="N56" s="42"/>
      <c r="O56" s="42"/>
      <c r="P56" s="42"/>
      <c r="Q56" s="42"/>
      <c r="R56" s="42"/>
      <c r="S56" s="42"/>
      <c r="T56" s="42"/>
      <c r="U56" s="42"/>
      <c r="V56" s="42"/>
      <c r="W56" s="42"/>
      <c r="X56" s="58"/>
    </row>
    <row r="57" spans="1:24" x14ac:dyDescent="0.25">
      <c r="A57" s="55"/>
      <c r="B57" s="42"/>
      <c r="C57" s="42" t="s">
        <v>3</v>
      </c>
      <c r="D57" s="42"/>
      <c r="E57" s="42"/>
      <c r="F57" s="42"/>
      <c r="G57" s="42"/>
      <c r="H57" s="42"/>
      <c r="I57" s="42"/>
      <c r="J57" s="42"/>
      <c r="K57" s="42"/>
      <c r="L57" s="42"/>
      <c r="M57" s="42"/>
      <c r="N57" s="42"/>
      <c r="O57" s="42"/>
      <c r="P57" s="42"/>
      <c r="Q57" s="42"/>
      <c r="R57" s="42"/>
      <c r="S57" s="42"/>
      <c r="T57" s="42"/>
      <c r="U57" s="42"/>
      <c r="V57" s="42"/>
      <c r="W57" s="42"/>
      <c r="X57" s="58"/>
    </row>
    <row r="58" spans="1:24" x14ac:dyDescent="0.25">
      <c r="A58" s="55"/>
      <c r="B58" s="42"/>
      <c r="C58" s="42"/>
      <c r="D58" s="42"/>
      <c r="E58" s="42"/>
      <c r="F58" s="42"/>
      <c r="G58" s="42"/>
      <c r="H58" s="42"/>
      <c r="I58" s="42"/>
      <c r="J58" s="42"/>
      <c r="K58" s="42"/>
      <c r="L58" s="42"/>
      <c r="M58" s="42"/>
      <c r="N58" s="42"/>
      <c r="O58" s="42"/>
      <c r="P58" s="42"/>
      <c r="Q58" s="42"/>
      <c r="R58" s="42"/>
      <c r="S58" s="42"/>
      <c r="T58" s="42"/>
      <c r="U58" s="42"/>
      <c r="V58" s="42"/>
      <c r="W58" s="42"/>
      <c r="X58" s="58"/>
    </row>
    <row r="59" spans="1:24" x14ac:dyDescent="0.25">
      <c r="A59" s="55"/>
      <c r="B59" s="67"/>
      <c r="C59" s="42"/>
      <c r="D59" s="42"/>
      <c r="E59" s="42"/>
      <c r="F59" s="42"/>
      <c r="G59" s="42"/>
      <c r="H59" s="42"/>
      <c r="I59" s="42"/>
      <c r="J59" s="42"/>
      <c r="K59" s="42"/>
      <c r="L59" s="42"/>
      <c r="M59" s="42"/>
      <c r="N59" s="42"/>
      <c r="O59" s="42"/>
      <c r="P59" s="42"/>
      <c r="Q59" s="42"/>
      <c r="R59" s="42"/>
      <c r="S59" s="42"/>
      <c r="T59" s="42"/>
      <c r="U59" s="42"/>
      <c r="V59" s="42"/>
      <c r="W59" s="42"/>
      <c r="X59" s="58"/>
    </row>
    <row r="60" spans="1:24" x14ac:dyDescent="0.25">
      <c r="A60" s="55"/>
      <c r="B60" s="42"/>
      <c r="C60" s="42"/>
      <c r="D60" s="42"/>
      <c r="E60" s="42"/>
      <c r="F60" s="42"/>
      <c r="G60" s="42"/>
      <c r="H60" s="42"/>
      <c r="I60" s="42"/>
      <c r="J60" s="42"/>
      <c r="K60" s="42"/>
      <c r="L60" s="42"/>
      <c r="M60" s="42"/>
      <c r="N60" s="42"/>
      <c r="O60" s="42"/>
      <c r="P60" s="42"/>
      <c r="Q60" s="42"/>
      <c r="R60" s="42"/>
      <c r="S60" s="42"/>
      <c r="T60" s="42"/>
      <c r="U60" s="42"/>
      <c r="V60" s="42"/>
      <c r="W60" s="42"/>
      <c r="X60" s="58"/>
    </row>
    <row r="61" spans="1:24" x14ac:dyDescent="0.25">
      <c r="A61" s="55"/>
      <c r="B61" s="42"/>
      <c r="C61" s="42"/>
      <c r="D61" s="42"/>
      <c r="E61" s="42"/>
      <c r="F61" s="42"/>
      <c r="G61" s="42"/>
      <c r="H61" s="42"/>
      <c r="I61" s="42"/>
      <c r="J61" s="42"/>
      <c r="K61" s="42"/>
      <c r="L61" s="42"/>
      <c r="M61" s="42"/>
      <c r="N61" s="42"/>
      <c r="O61" s="42"/>
      <c r="P61" s="42"/>
      <c r="Q61" s="42"/>
      <c r="R61" s="42"/>
      <c r="S61" s="42"/>
      <c r="T61" s="42"/>
      <c r="U61" s="42"/>
      <c r="V61" s="42"/>
      <c r="W61" s="42"/>
      <c r="X61" s="58"/>
    </row>
    <row r="62" spans="1:24" x14ac:dyDescent="0.25">
      <c r="A62" s="55"/>
      <c r="B62" s="42"/>
      <c r="C62" s="42"/>
      <c r="D62" s="42"/>
      <c r="E62" s="42"/>
      <c r="F62" s="42"/>
      <c r="G62" s="42"/>
      <c r="H62" s="42"/>
      <c r="I62" s="42"/>
      <c r="J62" s="42"/>
      <c r="K62" s="42"/>
      <c r="L62" s="42"/>
      <c r="M62" s="42"/>
      <c r="N62" s="42"/>
      <c r="O62" s="42"/>
      <c r="P62" s="42"/>
      <c r="Q62" s="42"/>
      <c r="R62" s="42"/>
      <c r="S62" s="42"/>
      <c r="T62" s="42"/>
      <c r="U62" s="42"/>
      <c r="V62" s="42"/>
      <c r="W62" s="42"/>
      <c r="X62" s="58"/>
    </row>
    <row r="63" spans="1:24" x14ac:dyDescent="0.25">
      <c r="A63" s="55"/>
      <c r="B63" s="42"/>
      <c r="C63" s="42"/>
      <c r="D63" s="42"/>
      <c r="E63" s="42"/>
      <c r="F63" s="42"/>
      <c r="G63" s="42"/>
      <c r="H63" s="42"/>
      <c r="I63" s="42"/>
      <c r="J63" s="42"/>
      <c r="K63" s="42"/>
      <c r="L63" s="42"/>
      <c r="M63" s="42"/>
      <c r="N63" s="42"/>
      <c r="O63" s="42"/>
      <c r="P63" s="42"/>
      <c r="Q63" s="42"/>
      <c r="R63" s="42"/>
      <c r="S63" s="42"/>
      <c r="T63" s="42"/>
      <c r="U63" s="42"/>
      <c r="V63" s="42"/>
      <c r="W63" s="42"/>
      <c r="X63" s="58"/>
    </row>
    <row r="64" spans="1:24" x14ac:dyDescent="0.25">
      <c r="A64" s="55"/>
      <c r="B64" s="68"/>
      <c r="C64" s="42"/>
      <c r="D64" s="42"/>
      <c r="E64" s="42"/>
      <c r="F64" s="42"/>
      <c r="G64" s="42"/>
      <c r="H64" s="42"/>
      <c r="I64" s="42"/>
      <c r="J64" s="42"/>
      <c r="K64" s="42"/>
      <c r="L64" s="42"/>
      <c r="M64" s="42"/>
      <c r="N64" s="42"/>
      <c r="O64" s="42"/>
      <c r="P64" s="42"/>
      <c r="Q64" s="42"/>
      <c r="R64" s="42"/>
      <c r="S64" s="42"/>
      <c r="T64" s="42"/>
      <c r="U64" s="42"/>
      <c r="V64" s="42"/>
      <c r="W64" s="42"/>
      <c r="X64" s="58"/>
    </row>
    <row r="65" spans="1:24" x14ac:dyDescent="0.25">
      <c r="A65" s="55"/>
      <c r="B65" s="42"/>
      <c r="C65" s="42"/>
      <c r="D65" s="42"/>
      <c r="E65" s="42"/>
      <c r="F65" s="42"/>
      <c r="G65" s="42"/>
      <c r="H65" s="42"/>
      <c r="I65" s="42"/>
      <c r="J65" s="42"/>
      <c r="K65" s="42"/>
      <c r="L65" s="42"/>
      <c r="M65" s="42"/>
      <c r="N65" s="42"/>
      <c r="O65" s="42"/>
      <c r="P65" s="42"/>
      <c r="Q65" s="42"/>
      <c r="R65" s="42"/>
      <c r="S65" s="42"/>
      <c r="T65" s="42"/>
      <c r="U65" s="42"/>
      <c r="V65" s="42"/>
      <c r="W65" s="42"/>
      <c r="X65" s="58"/>
    </row>
    <row r="66" spans="1:24" x14ac:dyDescent="0.25">
      <c r="A66" s="55"/>
      <c r="B66" s="42"/>
      <c r="C66" s="42"/>
      <c r="D66" s="42"/>
      <c r="E66" s="42"/>
      <c r="F66" s="42"/>
      <c r="G66" s="42"/>
      <c r="H66" s="42"/>
      <c r="I66" s="42"/>
      <c r="J66" s="42"/>
      <c r="K66" s="42"/>
      <c r="L66" s="42"/>
      <c r="M66" s="42"/>
      <c r="N66" s="42"/>
      <c r="O66" s="42"/>
      <c r="P66" s="42"/>
      <c r="Q66" s="42"/>
      <c r="R66" s="42"/>
      <c r="S66" s="42"/>
      <c r="T66" s="42"/>
      <c r="U66" s="42"/>
      <c r="V66" s="42"/>
      <c r="W66" s="42"/>
      <c r="X66" s="58"/>
    </row>
    <row r="67" spans="1:24" x14ac:dyDescent="0.25">
      <c r="A67" s="55"/>
      <c r="B67" s="42"/>
      <c r="C67" s="42"/>
      <c r="D67" s="42"/>
      <c r="E67" s="42"/>
      <c r="F67" s="42"/>
      <c r="G67" s="42"/>
      <c r="H67" s="42"/>
      <c r="I67" s="42"/>
      <c r="J67" s="42"/>
      <c r="K67" s="42"/>
      <c r="L67" s="42"/>
      <c r="M67" s="42"/>
      <c r="N67" s="42"/>
      <c r="O67" s="42"/>
      <c r="P67" s="42"/>
      <c r="Q67" s="42"/>
      <c r="R67" s="42"/>
      <c r="S67" s="42"/>
      <c r="T67" s="42"/>
      <c r="U67" s="42"/>
      <c r="V67" s="42"/>
      <c r="W67" s="42"/>
      <c r="X67" s="58"/>
    </row>
    <row r="68" spans="1:24" x14ac:dyDescent="0.25">
      <c r="A68" s="55"/>
      <c r="B68" s="42"/>
      <c r="C68" s="42"/>
      <c r="D68" s="42"/>
      <c r="E68" s="42"/>
      <c r="F68" s="42"/>
      <c r="G68" s="42"/>
      <c r="H68" s="42"/>
      <c r="I68" s="42"/>
      <c r="J68" s="42"/>
      <c r="K68" s="69"/>
      <c r="L68" s="42"/>
      <c r="M68" s="42"/>
      <c r="N68" s="42"/>
      <c r="O68" s="42"/>
      <c r="P68" s="42"/>
      <c r="Q68" s="42"/>
      <c r="R68" s="42"/>
      <c r="S68" s="42"/>
      <c r="T68" s="42"/>
      <c r="U68" s="42"/>
      <c r="V68" s="42"/>
      <c r="W68" s="42"/>
      <c r="X68" s="58"/>
    </row>
    <row r="69" spans="1:24" x14ac:dyDescent="0.25">
      <c r="A69" s="55"/>
      <c r="B69" s="42"/>
      <c r="C69" s="42"/>
      <c r="D69" s="42"/>
      <c r="E69" s="42"/>
      <c r="F69" s="42"/>
      <c r="G69" s="42"/>
      <c r="H69" s="42"/>
      <c r="I69" s="42"/>
      <c r="J69" s="42"/>
      <c r="K69" s="42"/>
      <c r="L69" s="42"/>
      <c r="M69" s="42"/>
      <c r="N69" s="42"/>
      <c r="O69" s="42"/>
      <c r="P69" s="42"/>
      <c r="Q69" s="42"/>
      <c r="R69" s="42"/>
      <c r="S69" s="42"/>
      <c r="T69" s="42"/>
      <c r="U69" s="42"/>
      <c r="V69" s="42"/>
      <c r="W69" s="42"/>
      <c r="X69" s="58"/>
    </row>
    <row r="70" spans="1:24" x14ac:dyDescent="0.25">
      <c r="A70" s="55"/>
      <c r="B70" s="42"/>
      <c r="C70" s="42"/>
      <c r="D70" s="42"/>
      <c r="E70" s="42"/>
      <c r="F70" s="42"/>
      <c r="G70" s="42"/>
      <c r="H70" s="42"/>
      <c r="I70" s="42"/>
      <c r="J70" s="42"/>
      <c r="K70" s="42"/>
      <c r="L70" s="42"/>
      <c r="M70" s="42"/>
      <c r="N70" s="42"/>
      <c r="O70" s="42"/>
      <c r="P70" s="42"/>
      <c r="Q70" s="42"/>
      <c r="R70" s="42"/>
      <c r="S70" s="42"/>
      <c r="T70" s="42"/>
      <c r="U70" s="42"/>
      <c r="V70" s="42"/>
      <c r="W70" s="42"/>
      <c r="X70" s="58"/>
    </row>
    <row r="71" spans="1:24" ht="18.75" x14ac:dyDescent="0.3">
      <c r="A71" s="55"/>
      <c r="B71" s="52" t="s">
        <v>17</v>
      </c>
      <c r="C71" s="42"/>
      <c r="D71" s="42"/>
      <c r="E71" s="42"/>
      <c r="F71" s="42"/>
      <c r="G71" s="42"/>
      <c r="H71" s="42"/>
      <c r="I71" s="42"/>
      <c r="J71" s="42"/>
      <c r="K71" s="42"/>
      <c r="L71" s="42"/>
      <c r="M71" s="42"/>
      <c r="N71" s="42"/>
      <c r="O71" s="42"/>
      <c r="P71" s="42"/>
      <c r="Q71" s="42"/>
      <c r="R71" s="42"/>
      <c r="S71" s="42"/>
      <c r="T71" s="42"/>
      <c r="U71" s="42"/>
      <c r="V71" s="42"/>
      <c r="W71" s="42"/>
      <c r="X71" s="58"/>
    </row>
    <row r="72" spans="1:24" ht="18.75" x14ac:dyDescent="0.3">
      <c r="A72" s="55"/>
      <c r="B72" s="52" t="s">
        <v>22</v>
      </c>
      <c r="C72" s="42"/>
      <c r="D72" s="42"/>
      <c r="E72" s="42"/>
      <c r="F72" s="42"/>
      <c r="G72" s="42"/>
      <c r="H72" s="42"/>
      <c r="I72" s="42"/>
      <c r="J72" s="42"/>
      <c r="K72" s="42"/>
      <c r="L72" s="42"/>
      <c r="M72" s="42"/>
      <c r="N72" s="42"/>
      <c r="O72" s="42"/>
      <c r="P72" s="42"/>
      <c r="Q72" s="42"/>
      <c r="R72" s="42"/>
      <c r="S72" s="42"/>
      <c r="T72" s="42"/>
      <c r="U72" s="42"/>
      <c r="V72" s="42"/>
      <c r="W72" s="42"/>
      <c r="X72" s="58"/>
    </row>
    <row r="73" spans="1:24" ht="18.75" x14ac:dyDescent="0.3">
      <c r="A73" s="55"/>
      <c r="B73" s="52" t="s">
        <v>21</v>
      </c>
      <c r="C73" s="42"/>
      <c r="D73" s="42"/>
      <c r="E73" s="42"/>
      <c r="F73" s="42"/>
      <c r="G73" s="42"/>
      <c r="H73" s="42"/>
      <c r="I73" s="42"/>
      <c r="J73" s="42"/>
      <c r="K73" s="42"/>
      <c r="L73" s="42"/>
      <c r="M73" s="42"/>
      <c r="N73" s="42"/>
      <c r="O73" s="42"/>
      <c r="P73" s="42"/>
      <c r="Q73" s="42"/>
      <c r="R73" s="42"/>
      <c r="S73" s="42"/>
      <c r="T73" s="42"/>
      <c r="U73" s="42"/>
      <c r="V73" s="42"/>
      <c r="W73" s="42"/>
      <c r="X73" s="58"/>
    </row>
    <row r="74" spans="1:24" x14ac:dyDescent="0.25">
      <c r="A74" s="55"/>
      <c r="B74" s="42"/>
      <c r="C74" s="42"/>
      <c r="D74" s="42"/>
      <c r="E74" s="42"/>
      <c r="F74" s="42"/>
      <c r="G74" s="42"/>
      <c r="H74" s="42"/>
      <c r="I74" s="42"/>
      <c r="J74" s="42"/>
      <c r="K74" s="42"/>
      <c r="L74" s="42"/>
      <c r="M74" s="42"/>
      <c r="N74" s="42"/>
      <c r="O74" s="42"/>
      <c r="P74" s="42"/>
      <c r="Q74" s="42"/>
      <c r="R74" s="42"/>
      <c r="S74" s="42"/>
      <c r="T74" s="42"/>
      <c r="U74" s="42"/>
      <c r="V74" s="42"/>
      <c r="W74" s="42"/>
      <c r="X74" s="58"/>
    </row>
    <row r="75" spans="1:24" x14ac:dyDescent="0.25">
      <c r="A75" s="55"/>
      <c r="B75" s="42"/>
      <c r="C75" s="42"/>
      <c r="D75" s="42"/>
      <c r="E75" s="42"/>
      <c r="F75" s="42"/>
      <c r="G75" s="42"/>
      <c r="H75" s="42"/>
      <c r="I75" s="42"/>
      <c r="J75" s="42"/>
      <c r="K75" s="42"/>
      <c r="L75" s="42"/>
      <c r="M75" s="42"/>
      <c r="N75" s="42"/>
      <c r="O75" s="42"/>
      <c r="P75" s="42"/>
      <c r="Q75" s="42"/>
      <c r="R75" s="42"/>
      <c r="S75" s="42"/>
      <c r="T75" s="42"/>
      <c r="U75" s="42"/>
      <c r="V75" s="42"/>
      <c r="W75" s="42"/>
      <c r="X75" s="58"/>
    </row>
    <row r="76" spans="1:24" x14ac:dyDescent="0.25">
      <c r="A76" s="55"/>
      <c r="B76" s="42"/>
      <c r="C76" s="42"/>
      <c r="D76" s="42"/>
      <c r="E76" s="42"/>
      <c r="F76" s="42"/>
      <c r="G76" s="42"/>
      <c r="H76" s="42"/>
      <c r="I76" s="42"/>
      <c r="J76" s="42"/>
      <c r="K76" s="42"/>
      <c r="L76" s="42"/>
      <c r="M76" s="42"/>
      <c r="N76" s="42"/>
      <c r="O76" s="42"/>
      <c r="P76" s="42"/>
      <c r="Q76" s="42"/>
      <c r="R76" s="42"/>
      <c r="S76" s="42"/>
      <c r="T76" s="42"/>
      <c r="U76" s="42"/>
      <c r="V76" s="42"/>
      <c r="W76" s="42"/>
      <c r="X76" s="58"/>
    </row>
    <row r="77" spans="1:24" x14ac:dyDescent="0.25">
      <c r="A77" s="55"/>
      <c r="B77" s="42"/>
      <c r="C77" s="42"/>
      <c r="D77" s="42"/>
      <c r="E77" s="42"/>
      <c r="F77" s="42"/>
      <c r="G77" s="42"/>
      <c r="H77" s="42"/>
      <c r="I77" s="42"/>
      <c r="J77" s="42"/>
      <c r="K77" s="42"/>
      <c r="L77" s="42"/>
      <c r="M77" s="42"/>
      <c r="N77" s="42"/>
      <c r="O77" s="42"/>
      <c r="P77" s="42"/>
      <c r="Q77" s="42"/>
      <c r="R77" s="42"/>
      <c r="S77" s="42"/>
      <c r="T77" s="42"/>
      <c r="U77" s="42"/>
      <c r="V77" s="42"/>
      <c r="W77" s="42"/>
      <c r="X77" s="58"/>
    </row>
    <row r="78" spans="1:24" ht="15.75" thickBot="1" x14ac:dyDescent="0.3">
      <c r="A78" s="70"/>
      <c r="B78" s="71"/>
      <c r="C78" s="71"/>
      <c r="D78" s="71"/>
      <c r="E78" s="71"/>
      <c r="F78" s="71"/>
      <c r="G78" s="71"/>
      <c r="H78" s="71"/>
      <c r="I78" s="71"/>
      <c r="J78" s="71"/>
      <c r="K78" s="71"/>
      <c r="L78" s="71"/>
      <c r="M78" s="71"/>
      <c r="N78" s="71"/>
      <c r="O78" s="71"/>
      <c r="P78" s="71"/>
      <c r="Q78" s="71"/>
      <c r="R78" s="71"/>
      <c r="S78" s="71"/>
      <c r="T78" s="71"/>
      <c r="U78" s="71"/>
      <c r="V78" s="71"/>
      <c r="W78" s="71"/>
      <c r="X78" s="72"/>
    </row>
    <row r="79" spans="1:24" s="77" customFormat="1" x14ac:dyDescent="0.25"/>
    <row r="80" spans="1:24" s="77" customFormat="1" x14ac:dyDescent="0.25"/>
    <row r="81" s="77" customFormat="1" x14ac:dyDescent="0.25"/>
    <row r="82" s="77" customFormat="1" x14ac:dyDescent="0.25"/>
    <row r="83" s="77" customFormat="1" x14ac:dyDescent="0.25"/>
    <row r="84" s="77" customFormat="1" x14ac:dyDescent="0.25"/>
    <row r="85" s="77" customFormat="1" x14ac:dyDescent="0.25"/>
    <row r="86" s="77" customFormat="1" x14ac:dyDescent="0.25"/>
    <row r="87" s="77" customFormat="1" x14ac:dyDescent="0.25"/>
    <row r="88" s="77" customFormat="1" x14ac:dyDescent="0.25"/>
    <row r="89" s="77" customFormat="1" x14ac:dyDescent="0.25"/>
    <row r="90" s="77" customFormat="1" x14ac:dyDescent="0.25"/>
    <row r="91" s="77" customFormat="1" x14ac:dyDescent="0.25"/>
    <row r="92" s="77" customFormat="1" x14ac:dyDescent="0.25"/>
    <row r="93" s="77" customFormat="1" x14ac:dyDescent="0.25"/>
    <row r="94" s="77" customFormat="1" x14ac:dyDescent="0.25"/>
    <row r="95" s="77" customFormat="1" x14ac:dyDescent="0.25"/>
    <row r="96" s="77" customFormat="1" x14ac:dyDescent="0.25"/>
    <row r="97" s="77" customFormat="1" x14ac:dyDescent="0.25"/>
    <row r="98" s="77" customFormat="1" x14ac:dyDescent="0.25"/>
    <row r="99" s="77" customFormat="1" x14ac:dyDescent="0.25"/>
    <row r="100" s="77" customFormat="1" x14ac:dyDescent="0.25"/>
    <row r="101" s="77" customFormat="1" x14ac:dyDescent="0.25"/>
    <row r="102" s="77" customFormat="1" x14ac:dyDescent="0.25"/>
    <row r="103" s="77" customFormat="1" x14ac:dyDescent="0.25"/>
    <row r="104" s="77" customFormat="1" x14ac:dyDescent="0.25"/>
    <row r="105" s="77" customFormat="1" x14ac:dyDescent="0.25"/>
    <row r="106" s="77" customFormat="1" x14ac:dyDescent="0.25"/>
    <row r="107" s="77" customFormat="1" x14ac:dyDescent="0.25"/>
    <row r="108" s="77" customFormat="1" x14ac:dyDescent="0.25"/>
    <row r="109" s="77" customFormat="1" x14ac:dyDescent="0.25"/>
    <row r="110" s="77" customFormat="1" x14ac:dyDescent="0.25"/>
    <row r="111" s="77" customFormat="1" x14ac:dyDescent="0.25"/>
    <row r="112" s="77" customFormat="1" x14ac:dyDescent="0.25"/>
    <row r="113" s="77" customFormat="1" x14ac:dyDescent="0.25"/>
    <row r="114" s="77" customFormat="1" x14ac:dyDescent="0.25"/>
    <row r="115" s="77" customFormat="1" x14ac:dyDescent="0.25"/>
    <row r="116" s="77" customFormat="1" x14ac:dyDescent="0.25"/>
    <row r="117" s="77" customFormat="1" x14ac:dyDescent="0.25"/>
    <row r="118" s="77" customFormat="1" x14ac:dyDescent="0.25"/>
    <row r="119" s="77" customFormat="1" x14ac:dyDescent="0.25"/>
    <row r="120" s="77" customFormat="1" x14ac:dyDescent="0.25"/>
    <row r="121" s="77" customFormat="1" x14ac:dyDescent="0.25"/>
    <row r="122" s="77" customFormat="1" x14ac:dyDescent="0.25"/>
    <row r="123" s="77" customFormat="1" x14ac:dyDescent="0.25"/>
    <row r="124" s="77" customFormat="1" x14ac:dyDescent="0.25"/>
    <row r="125" s="77" customFormat="1" x14ac:dyDescent="0.25"/>
    <row r="126" s="77" customFormat="1" x14ac:dyDescent="0.25"/>
    <row r="127" s="77" customFormat="1" x14ac:dyDescent="0.25"/>
    <row r="128" s="77" customFormat="1" x14ac:dyDescent="0.25"/>
    <row r="129" s="77" customFormat="1" x14ac:dyDescent="0.25"/>
    <row r="130" s="77" customFormat="1" x14ac:dyDescent="0.25"/>
    <row r="131" s="77" customFormat="1" x14ac:dyDescent="0.25"/>
    <row r="132" s="77" customFormat="1" x14ac:dyDescent="0.25"/>
    <row r="133" s="77" customFormat="1" x14ac:dyDescent="0.25"/>
    <row r="134" s="77" customFormat="1" x14ac:dyDescent="0.25"/>
    <row r="135" s="77" customFormat="1" x14ac:dyDescent="0.25"/>
    <row r="136" s="77" customFormat="1" x14ac:dyDescent="0.25"/>
    <row r="137" s="77" customFormat="1" x14ac:dyDescent="0.25"/>
    <row r="138" s="77" customFormat="1" x14ac:dyDescent="0.25"/>
    <row r="139" s="77" customFormat="1" x14ac:dyDescent="0.25"/>
    <row r="140" s="77" customFormat="1" x14ac:dyDescent="0.25"/>
    <row r="141" s="77" customFormat="1" x14ac:dyDescent="0.25"/>
    <row r="142" s="77" customFormat="1" x14ac:dyDescent="0.25"/>
    <row r="143" s="77" customFormat="1" x14ac:dyDescent="0.25"/>
    <row r="144" s="77" customFormat="1" x14ac:dyDescent="0.25"/>
    <row r="145" s="77" customFormat="1" x14ac:dyDescent="0.25"/>
    <row r="146" s="77" customFormat="1" x14ac:dyDescent="0.25"/>
    <row r="147" s="77" customFormat="1" x14ac:dyDescent="0.25"/>
    <row r="148" s="77" customFormat="1" x14ac:dyDescent="0.25"/>
    <row r="149" s="77" customFormat="1" x14ac:dyDescent="0.25"/>
    <row r="150" s="77" customFormat="1" x14ac:dyDescent="0.25"/>
    <row r="151" s="77" customFormat="1" x14ac:dyDescent="0.25"/>
    <row r="152" s="77" customFormat="1" x14ac:dyDescent="0.25"/>
    <row r="153" s="77" customFormat="1" x14ac:dyDescent="0.25"/>
  </sheetData>
  <sheetProtection password="CED4" sheet="1" objects="1" scenarios="1"/>
  <protectedRanges>
    <protectedRange password="CECE" sqref="U7:U19" name="Område1"/>
  </protectedRanges>
  <mergeCells count="2">
    <mergeCell ref="B36:K36"/>
    <mergeCell ref="B30:D30"/>
  </mergeCells>
  <conditionalFormatting sqref="B64">
    <cfRule type="colorScale" priority="1">
      <colorScale>
        <cfvo type="min"/>
        <cfvo type="percentile" val="50"/>
        <cfvo type="max"/>
        <color rgb="FFF8696B"/>
        <color rgb="FFFFEB84"/>
        <color rgb="FF63BE7B"/>
      </colorScale>
    </cfRule>
  </conditionalFormatting>
  <pageMargins left="0.7" right="0.7" top="0.75" bottom="0.75" header="0.3" footer="0.3"/>
  <pageSetup paperSize="9"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Benzoekvivalenter</vt:lpstr>
      <vt:lpstr>Opioidekvivalenter</vt:lpstr>
      <vt:lpstr>Gradvis nedtrapping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Steinar;Cato.Innerdal@molde.kommune.no</dc:creator>
  <cp:lastModifiedBy>Innerdal Cato</cp:lastModifiedBy>
  <cp:lastPrinted>2019-01-31T15:46:08Z</cp:lastPrinted>
  <dcterms:created xsi:type="dcterms:W3CDTF">2015-07-26T14:15:40Z</dcterms:created>
  <dcterms:modified xsi:type="dcterms:W3CDTF">2019-02-11T13:44:11Z</dcterms:modified>
</cp:coreProperties>
</file>